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650" windowWidth="16830" windowHeight="3630" activeTab="1"/>
  </bookViews>
  <sheets>
    <sheet name="2014 PROFIT &amp; LOSSES" sheetId="1" r:id="rId1"/>
    <sheet name="01-31-14" sheetId="2" r:id="rId2"/>
    <sheet name="12-31-13 " sheetId="3" r:id="rId3"/>
    <sheet name="11-30-13" sheetId="4" r:id="rId4"/>
    <sheet name="10-31-13" sheetId="5" r:id="rId5"/>
    <sheet name="09-30-13" sheetId="6" r:id="rId6"/>
    <sheet name="08-31-13" sheetId="7" r:id="rId7"/>
    <sheet name="07-31-13" sheetId="8" r:id="rId8"/>
    <sheet name="06-30-13 " sheetId="9" r:id="rId9"/>
    <sheet name="05-31-13 " sheetId="10" r:id="rId10"/>
    <sheet name="04-30-13" sheetId="11" r:id="rId11"/>
    <sheet name="03-31-13" sheetId="12" r:id="rId12"/>
    <sheet name="02-28-13" sheetId="13" r:id="rId13"/>
    <sheet name="01-31-13" sheetId="14" r:id="rId14"/>
    <sheet name="2013 PROFIT &amp; LOSSES" sheetId="15" r:id="rId15"/>
  </sheets>
  <definedNames>
    <definedName name="_xlnm.Print_Area" localSheetId="13">'01-31-13'!$A$1:$G$42</definedName>
    <definedName name="_xlnm.Print_Area" localSheetId="1">'01-31-14'!$A$1:$G$42</definedName>
    <definedName name="_xlnm.Print_Area" localSheetId="12">'02-28-13'!$A$1:$G$42</definedName>
    <definedName name="_xlnm.Print_Area" localSheetId="11">'03-31-13'!$A$1:$G$42</definedName>
    <definedName name="_xlnm.Print_Area" localSheetId="10">'04-30-13'!$A$1:$G$42</definedName>
    <definedName name="_xlnm.Print_Area" localSheetId="9">'05-31-13 '!$A$1:$G$42</definedName>
    <definedName name="_xlnm.Print_Area" localSheetId="8">'06-30-13 '!$A$1:$G$42</definedName>
    <definedName name="_xlnm.Print_Area" localSheetId="7">'07-31-13'!$A$1:$G$42</definedName>
    <definedName name="_xlnm.Print_Area" localSheetId="6">'08-31-13'!$A$1:$G$42</definedName>
    <definedName name="_xlnm.Print_Area" localSheetId="5">'09-30-13'!$A$1:$G$42</definedName>
    <definedName name="_xlnm.Print_Area" localSheetId="4">'10-31-13'!$A$1:$G$42</definedName>
    <definedName name="_xlnm.Print_Area" localSheetId="3">'11-30-13'!$A$1:$G$42</definedName>
    <definedName name="_xlnm.Print_Area" localSheetId="2">'12-31-13 '!$A$1:$G$42</definedName>
    <definedName name="Z_9BD35ED9_F163_4ABF_B7EF_FD94D0A4702D_.wvu.PrintArea" localSheetId="13" hidden="1">'01-31-13'!$A$1:$G$42</definedName>
    <definedName name="Z_9BD35ED9_F163_4ABF_B7EF_FD94D0A4702D_.wvu.PrintArea" localSheetId="1" hidden="1">'01-31-14'!$A$1:$G$42</definedName>
    <definedName name="Z_9BD35ED9_F163_4ABF_B7EF_FD94D0A4702D_.wvu.PrintArea" localSheetId="12" hidden="1">'02-28-13'!$A$1:$G$42</definedName>
    <definedName name="Z_9BD35ED9_F163_4ABF_B7EF_FD94D0A4702D_.wvu.PrintArea" localSheetId="11" hidden="1">'03-31-13'!$A$1:$G$42</definedName>
    <definedName name="Z_9BD35ED9_F163_4ABF_B7EF_FD94D0A4702D_.wvu.PrintArea" localSheetId="10" hidden="1">'04-30-13'!$A$1:$G$42</definedName>
    <definedName name="Z_9BD35ED9_F163_4ABF_B7EF_FD94D0A4702D_.wvu.PrintArea" localSheetId="9" hidden="1">'05-31-13 '!$A$1:$G$42</definedName>
    <definedName name="Z_9BD35ED9_F163_4ABF_B7EF_FD94D0A4702D_.wvu.PrintArea" localSheetId="8" hidden="1">'06-30-13 '!$A$1:$G$42</definedName>
    <definedName name="Z_9BD35ED9_F163_4ABF_B7EF_FD94D0A4702D_.wvu.PrintArea" localSheetId="7" hidden="1">'07-31-13'!$A$1:$G$42</definedName>
    <definedName name="Z_9BD35ED9_F163_4ABF_B7EF_FD94D0A4702D_.wvu.PrintArea" localSheetId="6" hidden="1">'08-31-13'!$A$1:$G$42</definedName>
    <definedName name="Z_9BD35ED9_F163_4ABF_B7EF_FD94D0A4702D_.wvu.PrintArea" localSheetId="5" hidden="1">'09-30-13'!$A$1:$G$42</definedName>
    <definedName name="Z_9BD35ED9_F163_4ABF_B7EF_FD94D0A4702D_.wvu.PrintArea" localSheetId="4" hidden="1">'10-31-13'!$A$1:$G$42</definedName>
    <definedName name="Z_9BD35ED9_F163_4ABF_B7EF_FD94D0A4702D_.wvu.PrintArea" localSheetId="3" hidden="1">'11-30-13'!$A$1:$G$42</definedName>
    <definedName name="Z_9BD35ED9_F163_4ABF_B7EF_FD94D0A4702D_.wvu.PrintArea" localSheetId="2" hidden="1">'12-31-13 '!$A$1:$G$42</definedName>
    <definedName name="Z_9BD35ED9_F163_4ABF_B7EF_FD94D0A4702D_.wvu.Rows" localSheetId="13" hidden="1">'01-31-13'!$17:$18</definedName>
    <definedName name="Z_9BD35ED9_F163_4ABF_B7EF_FD94D0A4702D_.wvu.Rows" localSheetId="1" hidden="1">'01-31-14'!$17:$18</definedName>
    <definedName name="Z_9BD35ED9_F163_4ABF_B7EF_FD94D0A4702D_.wvu.Rows" localSheetId="12" hidden="1">'02-28-13'!$17:$18</definedName>
    <definedName name="Z_9BD35ED9_F163_4ABF_B7EF_FD94D0A4702D_.wvu.Rows" localSheetId="11" hidden="1">'03-31-13'!$17:$18</definedName>
    <definedName name="Z_9BD35ED9_F163_4ABF_B7EF_FD94D0A4702D_.wvu.Rows" localSheetId="10" hidden="1">'04-30-13'!$17:$18</definedName>
    <definedName name="Z_9BD35ED9_F163_4ABF_B7EF_FD94D0A4702D_.wvu.Rows" localSheetId="9" hidden="1">'05-31-13 '!$17:$18</definedName>
    <definedName name="Z_9BD35ED9_F163_4ABF_B7EF_FD94D0A4702D_.wvu.Rows" localSheetId="8" hidden="1">'06-30-13 '!$17:$18</definedName>
    <definedName name="Z_9BD35ED9_F163_4ABF_B7EF_FD94D0A4702D_.wvu.Rows" localSheetId="7" hidden="1">'07-31-13'!$17:$18</definedName>
    <definedName name="Z_9BD35ED9_F163_4ABF_B7EF_FD94D0A4702D_.wvu.Rows" localSheetId="6" hidden="1">'08-31-13'!$17:$18</definedName>
    <definedName name="Z_9BD35ED9_F163_4ABF_B7EF_FD94D0A4702D_.wvu.Rows" localSheetId="5" hidden="1">'09-30-13'!$17:$18</definedName>
    <definedName name="Z_9BD35ED9_F163_4ABF_B7EF_FD94D0A4702D_.wvu.Rows" localSheetId="4" hidden="1">'10-31-13'!$17:$18</definedName>
    <definedName name="Z_9BD35ED9_F163_4ABF_B7EF_FD94D0A4702D_.wvu.Rows" localSheetId="3" hidden="1">'11-30-13'!$17:$18</definedName>
    <definedName name="Z_9BD35ED9_F163_4ABF_B7EF_FD94D0A4702D_.wvu.Rows" localSheetId="2" hidden="1">'12-31-13 '!$17:$18</definedName>
  </definedNames>
  <calcPr fullCalcOnLoad="1"/>
</workbook>
</file>

<file path=xl/comments1.xml><?xml version="1.0" encoding="utf-8"?>
<comments xmlns="http://schemas.openxmlformats.org/spreadsheetml/2006/main">
  <authors>
    <author>Maria Lopatniuk (Forest Preserve District)</author>
  </authors>
  <commentList>
    <comment ref="Y1" authorId="0">
      <text>
        <r>
          <rPr>
            <b/>
            <sz val="9"/>
            <rFont val="Tahoma"/>
            <family val="2"/>
          </rPr>
          <t>Maria Lopatniuk (Forest Preserve District):</t>
        </r>
        <r>
          <rPr>
            <sz val="9"/>
            <rFont val="Tahoma"/>
            <family val="2"/>
          </rPr>
          <t xml:space="preserve">
</t>
        </r>
      </text>
    </comment>
    <comment ref="AI82" authorId="0">
      <text>
        <r>
          <rPr>
            <b/>
            <sz val="9"/>
            <rFont val="Tahoma"/>
            <family val="2"/>
          </rPr>
          <t>Maria Lopatniuk (Forest Preserve District):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Maria Lopatniuk (Forest Preserve District)</author>
  </authors>
  <commentList>
    <comment ref="Y1" authorId="0">
      <text>
        <r>
          <rPr>
            <b/>
            <sz val="9"/>
            <rFont val="Tahoma"/>
            <family val="2"/>
          </rPr>
          <t>Maria Lopatniuk (Forest Preserve District):</t>
        </r>
        <r>
          <rPr>
            <sz val="9"/>
            <rFont val="Tahoma"/>
            <family val="2"/>
          </rPr>
          <t xml:space="preserve">
</t>
        </r>
      </text>
    </comment>
    <comment ref="AI78" authorId="0">
      <text>
        <r>
          <rPr>
            <b/>
            <sz val="9"/>
            <rFont val="Tahoma"/>
            <family val="2"/>
          </rPr>
          <t>Maria Lopatniuk (Forest Preserve District):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<sst xmlns="http://schemas.openxmlformats.org/spreadsheetml/2006/main" count="947" uniqueCount="103">
  <si>
    <t>REVENUES</t>
  </si>
  <si>
    <t>Golf</t>
  </si>
  <si>
    <t>Concessions</t>
  </si>
  <si>
    <t>License Agreements</t>
  </si>
  <si>
    <t>Land Use Fees</t>
  </si>
  <si>
    <t>Winter Sports</t>
  </si>
  <si>
    <t>Equestrian Licenses</t>
  </si>
  <si>
    <t>Miscellaneous Income</t>
  </si>
  <si>
    <t>Picnic Permit Fees</t>
  </si>
  <si>
    <t>Pool Fees</t>
  </si>
  <si>
    <t>Fines</t>
  </si>
  <si>
    <t>Interest</t>
  </si>
  <si>
    <t>General Consulting Svc P&amp;D</t>
  </si>
  <si>
    <t>Fund Balance Contribution</t>
  </si>
  <si>
    <t>EXPENDITURES</t>
  </si>
  <si>
    <t>General Office</t>
  </si>
  <si>
    <t>Finance &amp; Administration</t>
  </si>
  <si>
    <t>Resource Management</t>
  </si>
  <si>
    <t>General Maintenance</t>
  </si>
  <si>
    <t>Resident Watchmen Facilities</t>
  </si>
  <si>
    <t>Law Enforcement</t>
  </si>
  <si>
    <t>Legal Department</t>
  </si>
  <si>
    <t>Planning &amp; Development</t>
  </si>
  <si>
    <t>District-Wide Services</t>
  </si>
  <si>
    <t>Transfer Out of Corporate Fund</t>
  </si>
  <si>
    <t>2011 Budget</t>
  </si>
  <si>
    <t>Year-to-Date Actuals</t>
  </si>
  <si>
    <t>TOTALS</t>
  </si>
  <si>
    <t>Year-to-Year Current Month Difference</t>
  </si>
  <si>
    <t>Year-to-Date % of Total Budget</t>
  </si>
  <si>
    <t>Property Taxes</t>
  </si>
  <si>
    <t>Personal Property Taxes</t>
  </si>
  <si>
    <r>
      <t xml:space="preserve">in addition to misc. income accounts </t>
    </r>
    <r>
      <rPr>
        <sz val="10"/>
        <rFont val="Arial"/>
        <family val="2"/>
      </rPr>
      <t>includes: special events, damage claims, nature center rev</t>
    </r>
    <r>
      <rPr>
        <b/>
        <sz val="10"/>
        <rFont val="Arial"/>
        <family val="2"/>
      </rPr>
      <t xml:space="preserve">. &amp; police Hire Back </t>
    </r>
  </si>
  <si>
    <t>Golf Accrual</t>
  </si>
  <si>
    <t>2012 Budget</t>
  </si>
  <si>
    <t>Recreation, Volunteer Res. &amp; Permits</t>
  </si>
  <si>
    <t>Receipts</t>
  </si>
  <si>
    <t xml:space="preserve">     Prior Years' Taxes</t>
  </si>
  <si>
    <t xml:space="preserve">     PPRT</t>
  </si>
  <si>
    <t>Fees</t>
  </si>
  <si>
    <t xml:space="preserve">     Picnic Permit Fee</t>
  </si>
  <si>
    <t xml:space="preserve">     Pool Fees</t>
  </si>
  <si>
    <t xml:space="preserve">     Concessions</t>
  </si>
  <si>
    <t xml:space="preserve">     Land Use Fees</t>
  </si>
  <si>
    <t xml:space="preserve">     Real Estate License Fees</t>
  </si>
  <si>
    <t xml:space="preserve">     Winter Sports</t>
  </si>
  <si>
    <t xml:space="preserve">     Parking Tickets / Fines</t>
  </si>
  <si>
    <t xml:space="preserve">     Equestrian Licenses</t>
  </si>
  <si>
    <t xml:space="preserve">     Miscellaneous</t>
  </si>
  <si>
    <t>Total Receipts</t>
  </si>
  <si>
    <t>Disbursements</t>
  </si>
  <si>
    <t>Interfund Transfers (Intergovernmental)</t>
  </si>
  <si>
    <t>Total Disbursements</t>
  </si>
  <si>
    <t>General Office Total</t>
  </si>
  <si>
    <t>Human Resources Total</t>
  </si>
  <si>
    <t>Resource Management Total</t>
  </si>
  <si>
    <t>Recreation Vol. Res. &amp; Permits Total</t>
  </si>
  <si>
    <t>Law Enforcement Total</t>
  </si>
  <si>
    <t>Legal Total</t>
  </si>
  <si>
    <t>Planning &amp; Development Total</t>
  </si>
  <si>
    <t>District-Wide Services Total</t>
  </si>
  <si>
    <t>Property Taxes Total</t>
  </si>
  <si>
    <t>Finance &amp; Administration Total</t>
  </si>
  <si>
    <t>Resident Watchmen</t>
  </si>
  <si>
    <t>`</t>
  </si>
  <si>
    <t>Actual</t>
  </si>
  <si>
    <t xml:space="preserve">April </t>
  </si>
  <si>
    <t>YTD Actual</t>
  </si>
  <si>
    <t>Month End Income / (Loss)</t>
  </si>
  <si>
    <t>January</t>
  </si>
  <si>
    <t xml:space="preserve">February 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</si>
  <si>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</si>
  <si>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</si>
  <si>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</si>
  <si>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</si>
  <si>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</si>
  <si>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</si>
  <si>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</si>
  <si>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</si>
  <si>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</si>
  <si>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Interest Earnings</t>
  </si>
  <si>
    <t xml:space="preserve">     Interfund Transfers</t>
  </si>
  <si>
    <t xml:space="preserve">     Golf Course Revenue </t>
  </si>
  <si>
    <t>2012 Accrual</t>
  </si>
  <si>
    <t>2011 Accrual</t>
  </si>
  <si>
    <t xml:space="preserve">     Personnel</t>
  </si>
  <si>
    <t xml:space="preserve">     Non-Personnel</t>
  </si>
  <si>
    <t>Human Resources</t>
  </si>
  <si>
    <t>2013 Budget</t>
  </si>
  <si>
    <t xml:space="preserve">     Real estate Taxes - 2012Levy</t>
  </si>
  <si>
    <t>Landscape Maintenance Total</t>
  </si>
  <si>
    <t>Facility Maintenance Total</t>
  </si>
  <si>
    <t>Fleet Maintenance Total</t>
  </si>
  <si>
    <t>Landscape Maintenance</t>
  </si>
  <si>
    <t>Facility Maintenance</t>
  </si>
  <si>
    <t xml:space="preserve">     Real estate Taxes - 2012 Levy</t>
  </si>
  <si>
    <t>2014 Budget</t>
  </si>
  <si>
    <t>Conservation &amp; Experiential Pr.</t>
  </si>
  <si>
    <t>Conservation &amp; Experientail Pr.</t>
  </si>
  <si>
    <t xml:space="preserve">     Real estate Taxes - 2013Levy</t>
  </si>
  <si>
    <t>=</t>
  </si>
  <si>
    <t>Resident Watchmen Fees</t>
  </si>
  <si>
    <t>Permits, Concess. &amp; Volunt.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</si>
</sst>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"/>
    <numFmt numFmtId="166" formatCode="[$$-409]#,##0_);\([$$-409]#,##0\)"/>
    <numFmt numFmtId="167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7" fontId="3" fillId="34" borderId="11" xfId="0" applyNumberFormat="1" applyFont="1" applyFill="1" applyBorder="1" applyAlignment="1" quotePrefix="1">
      <alignment horizontal="center" vertical="center" wrapText="1"/>
    </xf>
    <xf numFmtId="165" fontId="2" fillId="0" borderId="11" xfId="0" applyNumberFormat="1" applyFont="1" applyBorder="1" applyAlignment="1">
      <alignment/>
    </xf>
    <xf numFmtId="9" fontId="3" fillId="0" borderId="11" xfId="57" applyFont="1" applyBorder="1" applyAlignment="1">
      <alignment/>
    </xf>
    <xf numFmtId="0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9" fontId="3" fillId="0" borderId="13" xfId="57" applyFont="1" applyBorder="1" applyAlignment="1">
      <alignment/>
    </xf>
    <xf numFmtId="9" fontId="3" fillId="0" borderId="10" xfId="57" applyFont="1" applyBorder="1" applyAlignment="1">
      <alignment/>
    </xf>
    <xf numFmtId="9" fontId="3" fillId="0" borderId="15" xfId="57" applyFont="1" applyBorder="1" applyAlignment="1">
      <alignment/>
    </xf>
    <xf numFmtId="40" fontId="6" fillId="0" borderId="0" xfId="0" applyNumberFormat="1" applyFont="1" applyAlignment="1">
      <alignment/>
    </xf>
    <xf numFmtId="166" fontId="3" fillId="0" borderId="0" xfId="0" applyNumberFormat="1" applyFont="1" applyBorder="1" applyAlignment="1" quotePrefix="1">
      <alignment/>
    </xf>
    <xf numFmtId="164" fontId="2" fillId="0" borderId="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34" borderId="11" xfId="0" applyNumberFormat="1" applyFont="1" applyFill="1" applyBorder="1" applyAlignment="1">
      <alignment/>
    </xf>
    <xf numFmtId="41" fontId="2" fillId="0" borderId="13" xfId="0" applyNumberFormat="1" applyFont="1" applyBorder="1" applyAlignment="1">
      <alignment/>
    </xf>
    <xf numFmtId="41" fontId="2" fillId="34" borderId="13" xfId="0" applyNumberFormat="1" applyFont="1" applyFill="1" applyBorder="1" applyAlignment="1">
      <alignment/>
    </xf>
    <xf numFmtId="41" fontId="2" fillId="0" borderId="16" xfId="0" applyNumberFormat="1" applyFont="1" applyBorder="1" applyAlignment="1">
      <alignment/>
    </xf>
    <xf numFmtId="41" fontId="2" fillId="34" borderId="16" xfId="0" applyNumberFormat="1" applyFont="1" applyFill="1" applyBorder="1" applyAlignment="1">
      <alignment/>
    </xf>
    <xf numFmtId="41" fontId="3" fillId="0" borderId="10" xfId="0" applyNumberFormat="1" applyFont="1" applyBorder="1" applyAlignment="1">
      <alignment/>
    </xf>
    <xf numFmtId="41" fontId="3" fillId="34" borderId="10" xfId="0" applyNumberFormat="1" applyFont="1" applyFill="1" applyBorder="1" applyAlignment="1">
      <alignment/>
    </xf>
    <xf numFmtId="9" fontId="3" fillId="0" borderId="11" xfId="57" applyNumberFormat="1" applyFont="1" applyFill="1" applyBorder="1" applyAlignment="1">
      <alignment/>
    </xf>
    <xf numFmtId="9" fontId="3" fillId="0" borderId="13" xfId="57" applyNumberFormat="1" applyFont="1" applyFill="1" applyBorder="1" applyAlignment="1">
      <alignment/>
    </xf>
    <xf numFmtId="9" fontId="3" fillId="0" borderId="15" xfId="57" applyNumberFormat="1" applyFont="1" applyFill="1" applyBorder="1" applyAlignment="1">
      <alignment/>
    </xf>
    <xf numFmtId="9" fontId="3" fillId="0" borderId="10" xfId="57" applyNumberFormat="1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Alignment="1">
      <alignment/>
    </xf>
    <xf numFmtId="39" fontId="10" fillId="0" borderId="0" xfId="0" applyNumberFormat="1" applyFont="1" applyFill="1" applyAlignment="1">
      <alignment/>
    </xf>
    <xf numFmtId="41" fontId="7" fillId="0" borderId="0" xfId="0" applyNumberFormat="1" applyFont="1" applyAlignment="1">
      <alignment/>
    </xf>
    <xf numFmtId="42" fontId="7" fillId="0" borderId="0" xfId="0" applyNumberFormat="1" applyFont="1" applyAlignment="1">
      <alignment/>
    </xf>
    <xf numFmtId="41" fontId="9" fillId="35" borderId="0" xfId="0" applyNumberFormat="1" applyFont="1" applyFill="1" applyBorder="1" applyAlignment="1">
      <alignment/>
    </xf>
    <xf numFmtId="41" fontId="9" fillId="0" borderId="0" xfId="0" applyNumberFormat="1" applyFont="1" applyBorder="1" applyAlignment="1">
      <alignment/>
    </xf>
    <xf numFmtId="42" fontId="9" fillId="35" borderId="0" xfId="0" applyNumberFormat="1" applyFont="1" applyFill="1" applyBorder="1" applyAlignment="1">
      <alignment/>
    </xf>
    <xf numFmtId="42" fontId="10" fillId="35" borderId="0" xfId="0" applyNumberFormat="1" applyFont="1" applyFill="1" applyBorder="1" applyAlignment="1">
      <alignment/>
    </xf>
    <xf numFmtId="41" fontId="10" fillId="35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 horizontal="center" vertical="center" wrapText="1"/>
    </xf>
    <xf numFmtId="42" fontId="9" fillId="0" borderId="0" xfId="0" applyNumberFormat="1" applyFont="1" applyBorder="1" applyAlignment="1">
      <alignment/>
    </xf>
    <xf numFmtId="42" fontId="10" fillId="0" borderId="0" xfId="0" applyNumberFormat="1" applyFont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Fill="1" applyBorder="1" applyAlignment="1">
      <alignment/>
    </xf>
    <xf numFmtId="41" fontId="10" fillId="36" borderId="0" xfId="0" applyNumberFormat="1" applyFont="1" applyFill="1" applyBorder="1" applyAlignment="1">
      <alignment/>
    </xf>
    <xf numFmtId="0" fontId="9" fillId="36" borderId="0" xfId="0" applyNumberFormat="1" applyFont="1" applyFill="1" applyBorder="1" applyAlignment="1">
      <alignment horizontal="center" vertical="center"/>
    </xf>
    <xf numFmtId="42" fontId="9" fillId="36" borderId="0" xfId="0" applyNumberFormat="1" applyFont="1" applyFill="1" applyBorder="1" applyAlignment="1">
      <alignment/>
    </xf>
    <xf numFmtId="42" fontId="10" fillId="36" borderId="0" xfId="0" applyNumberFormat="1" applyFont="1" applyFill="1" applyBorder="1" applyAlignment="1">
      <alignment/>
    </xf>
    <xf numFmtId="41" fontId="9" fillId="36" borderId="0" xfId="0" applyNumberFormat="1" applyFont="1" applyFill="1" applyBorder="1" applyAlignment="1">
      <alignment/>
    </xf>
    <xf numFmtId="0" fontId="7" fillId="36" borderId="0" xfId="0" applyNumberFormat="1" applyFont="1" applyFill="1" applyAlignment="1">
      <alignment/>
    </xf>
    <xf numFmtId="0" fontId="9" fillId="35" borderId="12" xfId="0" applyNumberFormat="1" applyFont="1" applyFill="1" applyBorder="1" applyAlignment="1">
      <alignment horizontal="center" vertical="center"/>
    </xf>
    <xf numFmtId="0" fontId="9" fillId="35" borderId="12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6" borderId="0" xfId="0" applyNumberFormat="1" applyFont="1" applyFill="1" applyBorder="1" applyAlignment="1">
      <alignment horizontal="center" vertical="center" wrapText="1"/>
    </xf>
    <xf numFmtId="0" fontId="7" fillId="36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36" borderId="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36" borderId="0" xfId="0" applyFont="1" applyFill="1" applyBorder="1" applyAlignment="1">
      <alignment horizontal="center" vertical="center"/>
    </xf>
    <xf numFmtId="42" fontId="9" fillId="35" borderId="17" xfId="0" applyNumberFormat="1" applyFont="1" applyFill="1" applyBorder="1" applyAlignment="1">
      <alignment/>
    </xf>
    <xf numFmtId="42" fontId="9" fillId="0" borderId="17" xfId="0" applyNumberFormat="1" applyFont="1" applyBorder="1" applyAlignment="1">
      <alignment/>
    </xf>
    <xf numFmtId="41" fontId="9" fillId="35" borderId="18" xfId="0" applyNumberFormat="1" applyFont="1" applyFill="1" applyBorder="1" applyAlignment="1">
      <alignment/>
    </xf>
    <xf numFmtId="41" fontId="9" fillId="0" borderId="18" xfId="0" applyNumberFormat="1" applyFont="1" applyBorder="1" applyAlignment="1">
      <alignment/>
    </xf>
    <xf numFmtId="42" fontId="9" fillId="36" borderId="17" xfId="0" applyNumberFormat="1" applyFont="1" applyFill="1" applyBorder="1" applyAlignment="1">
      <alignment/>
    </xf>
    <xf numFmtId="41" fontId="9" fillId="37" borderId="0" xfId="0" applyNumberFormat="1" applyFont="1" applyFill="1" applyBorder="1" applyAlignment="1">
      <alignment/>
    </xf>
    <xf numFmtId="41" fontId="3" fillId="33" borderId="0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shrinkToFit="1"/>
    </xf>
    <xf numFmtId="41" fontId="2" fillId="0" borderId="12" xfId="0" applyNumberFormat="1" applyFont="1" applyBorder="1" applyAlignment="1">
      <alignment/>
    </xf>
    <xf numFmtId="44" fontId="7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zoomScalePageLayoutView="85" workbookViewId="0" topLeftCell="A1">
      <pane xSplit="1" ySplit="2" topLeftCell="B45" activePane="bottomRight" state="frozen"/>
      <selection pane="topLeft" activeCell="D5" sqref="D5"/>
      <selection pane="topRight" activeCell="D5" sqref="D5"/>
      <selection pane="bottomLeft" activeCell="D5" sqref="D5"/>
      <selection pane="bottomRight" activeCell="B50" sqref="B50"/>
    </sheetView>
  </sheetViews>
  <sheetFormatPr defaultColWidth="11.421875" defaultRowHeight="15"/>
  <cols>
    <col min="1" max="1" width="32.7109375" style="47" customWidth="1"/>
    <col min="2" max="2" width="11.7109375" style="47" customWidth="1"/>
    <col min="3" max="3" width="0.71875" style="74" customWidth="1"/>
    <col min="4" max="4" width="11.28125" style="47" customWidth="1"/>
    <col min="5" max="5" width="0.71875" style="79" customWidth="1"/>
    <col min="6" max="6" width="11.28125" style="47" customWidth="1"/>
    <col min="7" max="7" width="0.71875" style="47" customWidth="1"/>
    <col min="8" max="8" width="11.7109375" style="47" customWidth="1"/>
    <col min="9" max="9" width="0.71875" style="74" customWidth="1"/>
    <col min="10" max="10" width="11.7109375" style="47" customWidth="1"/>
    <col min="11" max="11" width="0.71875" style="47" customWidth="1"/>
    <col min="12" max="12" width="11.7109375" style="47" customWidth="1"/>
    <col min="13" max="13" width="0.71875" style="74" customWidth="1"/>
    <col min="14" max="14" width="11.7109375" style="47" customWidth="1"/>
    <col min="15" max="15" width="0.71875" style="79" customWidth="1"/>
    <col min="16" max="16" width="11.7109375" style="47" customWidth="1"/>
    <col min="17" max="17" width="0.71875" style="74" customWidth="1"/>
    <col min="18" max="18" width="11.7109375" style="47" customWidth="1"/>
    <col min="19" max="19" width="0.71875" style="74" customWidth="1"/>
    <col min="20" max="20" width="11.7109375" style="47" customWidth="1"/>
    <col min="21" max="21" width="0.71875" style="74" customWidth="1"/>
    <col min="22" max="22" width="14.140625" style="47" customWidth="1"/>
    <col min="23" max="23" width="0.9921875" style="74" customWidth="1"/>
    <col min="24" max="24" width="32.7109375" style="47" customWidth="1"/>
    <col min="25" max="25" width="11.7109375" style="47" customWidth="1"/>
    <col min="26" max="26" width="0.71875" style="74" customWidth="1"/>
    <col min="27" max="27" width="11.7109375" style="47" customWidth="1"/>
    <col min="28" max="28" width="0.71875" style="74" customWidth="1"/>
    <col min="29" max="29" width="11.7109375" style="47" customWidth="1"/>
    <col min="30" max="30" width="0.71875" style="74" customWidth="1"/>
    <col min="31" max="31" width="12.7109375" style="47" customWidth="1"/>
    <col min="32" max="32" width="0.71875" style="74" customWidth="1"/>
    <col min="33" max="33" width="11.7109375" style="47" customWidth="1"/>
    <col min="34" max="34" width="0.71875" style="74" customWidth="1"/>
    <col min="35" max="35" width="11.7109375" style="47" customWidth="1"/>
    <col min="36" max="36" width="0.71875" style="74" customWidth="1"/>
    <col min="37" max="37" width="12.28125" style="47" customWidth="1"/>
    <col min="38" max="38" width="0.71875" style="74" customWidth="1"/>
    <col min="39" max="39" width="11.7109375" style="47" customWidth="1"/>
    <col min="40" max="40" width="0.71875" style="74" customWidth="1"/>
    <col min="41" max="41" width="11.7109375" style="47" customWidth="1"/>
    <col min="42" max="42" width="0.71875" style="74" customWidth="1"/>
    <col min="43" max="43" width="11.7109375" style="47" customWidth="1"/>
    <col min="44" max="44" width="0.71875" style="47" customWidth="1"/>
    <col min="45" max="45" width="11.7109375" style="47" customWidth="1"/>
    <col min="46" max="46" width="0.71875" style="74" customWidth="1"/>
    <col min="47" max="47" width="11.7109375" style="47" customWidth="1"/>
    <col min="48" max="48" width="13.28125" style="47" customWidth="1"/>
    <col min="49" max="16384" width="11.421875" style="47" customWidth="1"/>
  </cols>
  <sheetData>
    <row r="1" spans="2:53" ht="15.75">
      <c r="B1" s="80" t="s">
        <v>69</v>
      </c>
      <c r="C1" s="81"/>
      <c r="D1" s="104" t="s">
        <v>70</v>
      </c>
      <c r="E1" s="104"/>
      <c r="F1" s="105"/>
      <c r="G1" s="103"/>
      <c r="H1" s="104" t="s">
        <v>71</v>
      </c>
      <c r="I1" s="104"/>
      <c r="J1" s="105"/>
      <c r="K1" s="103"/>
      <c r="L1" s="104" t="s">
        <v>66</v>
      </c>
      <c r="M1" s="104"/>
      <c r="N1" s="105"/>
      <c r="O1" s="83"/>
      <c r="P1" s="104" t="s">
        <v>72</v>
      </c>
      <c r="Q1" s="104"/>
      <c r="R1" s="105"/>
      <c r="S1" s="83"/>
      <c r="T1" s="104" t="s">
        <v>73</v>
      </c>
      <c r="U1" s="104"/>
      <c r="V1" s="105"/>
      <c r="W1" s="83"/>
      <c r="Y1" s="104" t="s">
        <v>74</v>
      </c>
      <c r="Z1" s="104"/>
      <c r="AA1" s="105"/>
      <c r="AB1" s="83"/>
      <c r="AC1" s="104" t="s">
        <v>75</v>
      </c>
      <c r="AD1" s="104"/>
      <c r="AE1" s="105"/>
      <c r="AF1" s="83"/>
      <c r="AG1" s="104" t="s">
        <v>76</v>
      </c>
      <c r="AH1" s="104"/>
      <c r="AI1" s="105"/>
      <c r="AJ1" s="83"/>
      <c r="AK1" s="104" t="s">
        <v>77</v>
      </c>
      <c r="AL1" s="104"/>
      <c r="AM1" s="104"/>
      <c r="AN1" s="81"/>
      <c r="AO1" s="104" t="s">
        <v>78</v>
      </c>
      <c r="AP1" s="104"/>
      <c r="AQ1" s="105"/>
      <c r="AR1" s="103"/>
      <c r="AS1" s="104" t="s">
        <v>79</v>
      </c>
      <c r="AT1" s="104"/>
      <c r="AU1" s="105"/>
      <c r="AV1" s="48"/>
      <c r="AW1" s="48"/>
      <c r="AX1" s="48"/>
      <c r="AY1" s="48"/>
      <c r="AZ1" s="48"/>
      <c r="BA1" s="48"/>
    </row>
    <row r="2" spans="1:47" ht="15" customHeight="1">
      <c r="A2" s="53"/>
      <c r="B2" s="75" t="s">
        <v>65</v>
      </c>
      <c r="C2" s="70"/>
      <c r="D2" s="76" t="s">
        <v>65</v>
      </c>
      <c r="E2" s="78"/>
      <c r="F2" s="77" t="s">
        <v>67</v>
      </c>
      <c r="G2" s="63"/>
      <c r="H2" s="76" t="s">
        <v>65</v>
      </c>
      <c r="I2" s="78"/>
      <c r="J2" s="77" t="s">
        <v>67</v>
      </c>
      <c r="K2" s="63"/>
      <c r="L2" s="76" t="s">
        <v>65</v>
      </c>
      <c r="M2" s="78"/>
      <c r="N2" s="77" t="s">
        <v>67</v>
      </c>
      <c r="O2" s="78"/>
      <c r="P2" s="76" t="s">
        <v>65</v>
      </c>
      <c r="Q2" s="78"/>
      <c r="R2" s="77" t="s">
        <v>67</v>
      </c>
      <c r="S2" s="78"/>
      <c r="T2" s="76" t="s">
        <v>65</v>
      </c>
      <c r="U2" s="78"/>
      <c r="V2" s="77" t="s">
        <v>67</v>
      </c>
      <c r="W2" s="78"/>
      <c r="X2" s="53"/>
      <c r="Y2" s="76" t="s">
        <v>65</v>
      </c>
      <c r="Z2" s="78"/>
      <c r="AA2" s="77" t="s">
        <v>67</v>
      </c>
      <c r="AB2" s="78"/>
      <c r="AC2" s="76" t="s">
        <v>65</v>
      </c>
      <c r="AD2" s="78"/>
      <c r="AE2" s="77" t="s">
        <v>67</v>
      </c>
      <c r="AF2" s="78"/>
      <c r="AG2" s="76" t="s">
        <v>65</v>
      </c>
      <c r="AH2" s="78"/>
      <c r="AI2" s="77" t="s">
        <v>67</v>
      </c>
      <c r="AJ2" s="78"/>
      <c r="AK2" s="76" t="s">
        <v>65</v>
      </c>
      <c r="AL2" s="78"/>
      <c r="AM2" s="77" t="s">
        <v>67</v>
      </c>
      <c r="AN2" s="78"/>
      <c r="AO2" s="76" t="s">
        <v>65</v>
      </c>
      <c r="AP2" s="78"/>
      <c r="AQ2" s="77" t="s">
        <v>67</v>
      </c>
      <c r="AR2" s="63"/>
      <c r="AS2" s="76" t="s">
        <v>65</v>
      </c>
      <c r="AT2" s="78"/>
      <c r="AU2" s="77" t="s">
        <v>67</v>
      </c>
    </row>
    <row r="3" spans="1:47" ht="15" customHeight="1">
      <c r="A3" s="52" t="s">
        <v>36</v>
      </c>
      <c r="B3" s="61"/>
      <c r="C3" s="72"/>
      <c r="D3" s="61"/>
      <c r="E3" s="72"/>
      <c r="F3" s="65"/>
      <c r="G3" s="65"/>
      <c r="H3" s="61"/>
      <c r="I3" s="72"/>
      <c r="J3" s="65"/>
      <c r="K3" s="65"/>
      <c r="L3" s="61" t="s">
        <v>64</v>
      </c>
      <c r="M3" s="72"/>
      <c r="N3" s="65"/>
      <c r="O3" s="72"/>
      <c r="P3" s="61" t="s">
        <v>64</v>
      </c>
      <c r="Q3" s="72"/>
      <c r="R3" s="65"/>
      <c r="S3" s="72"/>
      <c r="T3" s="61" t="s">
        <v>64</v>
      </c>
      <c r="U3" s="72"/>
      <c r="V3" s="65"/>
      <c r="W3" s="72"/>
      <c r="X3" s="52" t="s">
        <v>36</v>
      </c>
      <c r="Y3" s="61" t="s">
        <v>64</v>
      </c>
      <c r="Z3" s="72"/>
      <c r="AA3" s="65"/>
      <c r="AB3" s="72"/>
      <c r="AC3" s="61" t="s">
        <v>64</v>
      </c>
      <c r="AD3" s="72"/>
      <c r="AE3" s="65"/>
      <c r="AF3" s="72"/>
      <c r="AG3" s="61" t="s">
        <v>64</v>
      </c>
      <c r="AH3" s="72"/>
      <c r="AI3" s="65"/>
      <c r="AJ3" s="72"/>
      <c r="AK3" s="61" t="s">
        <v>64</v>
      </c>
      <c r="AL3" s="72"/>
      <c r="AM3" s="65"/>
      <c r="AN3" s="72"/>
      <c r="AO3" s="61" t="s">
        <v>64</v>
      </c>
      <c r="AP3" s="72"/>
      <c r="AQ3" s="65"/>
      <c r="AR3" s="65"/>
      <c r="AS3" s="61" t="s">
        <v>64</v>
      </c>
      <c r="AT3" s="72"/>
      <c r="AU3" s="65"/>
    </row>
    <row r="4" spans="1:47" ht="12" customHeight="1">
      <c r="A4" s="52"/>
      <c r="B4" s="61"/>
      <c r="C4" s="72"/>
      <c r="D4" s="61"/>
      <c r="E4" s="72"/>
      <c r="F4" s="65"/>
      <c r="G4" s="65"/>
      <c r="H4" s="61"/>
      <c r="I4" s="72"/>
      <c r="J4" s="65"/>
      <c r="K4" s="65"/>
      <c r="L4" s="61"/>
      <c r="M4" s="72"/>
      <c r="N4" s="65"/>
      <c r="O4" s="72"/>
      <c r="P4" s="61"/>
      <c r="Q4" s="72"/>
      <c r="R4" s="65"/>
      <c r="S4" s="72"/>
      <c r="T4" s="61"/>
      <c r="U4" s="72"/>
      <c r="V4" s="65"/>
      <c r="W4" s="72"/>
      <c r="X4" s="52"/>
      <c r="Y4" s="61"/>
      <c r="Z4" s="72"/>
      <c r="AA4" s="65"/>
      <c r="AB4" s="72"/>
      <c r="AC4" s="61"/>
      <c r="AD4" s="72"/>
      <c r="AE4" s="65"/>
      <c r="AF4" s="72"/>
      <c r="AG4" s="61"/>
      <c r="AH4" s="72"/>
      <c r="AI4" s="65"/>
      <c r="AJ4" s="72"/>
      <c r="AK4" s="61"/>
      <c r="AL4" s="72"/>
      <c r="AM4" s="65"/>
      <c r="AN4" s="72"/>
      <c r="AO4" s="61"/>
      <c r="AP4" s="72"/>
      <c r="AQ4" s="65"/>
      <c r="AR4" s="65"/>
      <c r="AS4" s="61"/>
      <c r="AT4" s="72"/>
      <c r="AU4" s="65"/>
    </row>
    <row r="5" spans="1:47" ht="12.75" customHeight="1">
      <c r="A5" s="52" t="s">
        <v>61</v>
      </c>
      <c r="B5" s="62">
        <f>B7+B6</f>
        <v>115058.22</v>
      </c>
      <c r="C5" s="73"/>
      <c r="D5" s="62"/>
      <c r="E5" s="69"/>
      <c r="F5" s="62"/>
      <c r="G5" s="59"/>
      <c r="H5" s="62"/>
      <c r="I5" s="73"/>
      <c r="J5" s="62"/>
      <c r="K5" s="59"/>
      <c r="L5" s="58"/>
      <c r="M5" s="73"/>
      <c r="N5" s="62"/>
      <c r="O5" s="73"/>
      <c r="P5" s="58"/>
      <c r="Q5" s="73"/>
      <c r="R5" s="62"/>
      <c r="S5" s="73"/>
      <c r="T5" s="58"/>
      <c r="U5" s="73"/>
      <c r="V5" s="59"/>
      <c r="W5" s="73"/>
      <c r="X5" s="52" t="s">
        <v>61</v>
      </c>
      <c r="Y5" s="58"/>
      <c r="Z5" s="73"/>
      <c r="AA5" s="59"/>
      <c r="AB5" s="73"/>
      <c r="AC5" s="58"/>
      <c r="AD5" s="73"/>
      <c r="AE5" s="59"/>
      <c r="AF5" s="73"/>
      <c r="AG5" s="58"/>
      <c r="AH5" s="73"/>
      <c r="AI5" s="59"/>
      <c r="AJ5" s="73"/>
      <c r="AK5" s="62"/>
      <c r="AL5" s="73"/>
      <c r="AM5" s="59"/>
      <c r="AN5" s="73"/>
      <c r="AO5" s="58"/>
      <c r="AP5" s="73"/>
      <c r="AQ5" s="66"/>
      <c r="AR5" s="66"/>
      <c r="AS5" s="58"/>
      <c r="AT5" s="73"/>
      <c r="AU5" s="66"/>
    </row>
    <row r="6" spans="1:47" ht="12" customHeight="1">
      <c r="A6" s="53" t="s">
        <v>99</v>
      </c>
      <c r="B6" s="62">
        <v>0</v>
      </c>
      <c r="C6" s="69"/>
      <c r="D6" s="62"/>
      <c r="E6" s="69"/>
      <c r="F6" s="67"/>
      <c r="G6" s="67"/>
      <c r="H6" s="62"/>
      <c r="I6" s="69"/>
      <c r="J6" s="67"/>
      <c r="K6" s="67"/>
      <c r="L6" s="62"/>
      <c r="M6" s="69"/>
      <c r="N6" s="67"/>
      <c r="O6" s="69"/>
      <c r="P6" s="62"/>
      <c r="Q6" s="69"/>
      <c r="R6" s="67"/>
      <c r="S6" s="69"/>
      <c r="T6" s="62"/>
      <c r="U6" s="69"/>
      <c r="V6" s="67"/>
      <c r="W6" s="69"/>
      <c r="X6" s="53" t="s">
        <v>95</v>
      </c>
      <c r="Y6" s="62"/>
      <c r="Z6" s="69"/>
      <c r="AA6" s="67"/>
      <c r="AB6" s="69"/>
      <c r="AC6" s="62"/>
      <c r="AD6" s="69"/>
      <c r="AE6" s="67"/>
      <c r="AF6" s="69"/>
      <c r="AG6" s="58"/>
      <c r="AH6" s="69"/>
      <c r="AI6" s="67"/>
      <c r="AJ6" s="69"/>
      <c r="AK6" s="62"/>
      <c r="AL6" s="69"/>
      <c r="AM6" s="67"/>
      <c r="AN6" s="69"/>
      <c r="AO6" s="62"/>
      <c r="AP6" s="69"/>
      <c r="AQ6" s="67"/>
      <c r="AR6" s="67"/>
      <c r="AS6" s="58"/>
      <c r="AT6" s="69"/>
      <c r="AU6" s="94"/>
    </row>
    <row r="7" spans="1:256" s="51" customFormat="1" ht="12" customHeight="1">
      <c r="A7" s="54" t="s">
        <v>37</v>
      </c>
      <c r="B7" s="62">
        <v>115058.22</v>
      </c>
      <c r="C7" s="69"/>
      <c r="D7" s="62"/>
      <c r="E7" s="69"/>
      <c r="F7" s="68"/>
      <c r="G7" s="68"/>
      <c r="H7" s="62"/>
      <c r="I7" s="69"/>
      <c r="J7" s="68"/>
      <c r="K7" s="68"/>
      <c r="L7" s="62"/>
      <c r="M7" s="69"/>
      <c r="N7" s="68"/>
      <c r="O7" s="69"/>
      <c r="P7" s="62"/>
      <c r="Q7" s="69"/>
      <c r="R7" s="68"/>
      <c r="S7" s="69"/>
      <c r="T7" s="62"/>
      <c r="U7" s="69"/>
      <c r="V7" s="68"/>
      <c r="W7" s="69"/>
      <c r="X7" s="54" t="s">
        <v>37</v>
      </c>
      <c r="Y7" s="62"/>
      <c r="Z7" s="69"/>
      <c r="AA7" s="68"/>
      <c r="AB7" s="69"/>
      <c r="AC7" s="62"/>
      <c r="AD7" s="69"/>
      <c r="AE7" s="68"/>
      <c r="AF7" s="69"/>
      <c r="AG7" s="58"/>
      <c r="AH7" s="69"/>
      <c r="AI7" s="68"/>
      <c r="AJ7" s="69"/>
      <c r="AK7" s="62"/>
      <c r="AL7" s="69"/>
      <c r="AM7" s="68"/>
      <c r="AN7" s="69"/>
      <c r="AO7" s="62"/>
      <c r="AP7" s="69"/>
      <c r="AQ7" s="68"/>
      <c r="AR7" s="68"/>
      <c r="AS7" s="58"/>
      <c r="AT7" s="69"/>
      <c r="AU7" s="67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</row>
    <row r="8" spans="1:48" ht="12" customHeight="1">
      <c r="A8" s="53" t="s">
        <v>38</v>
      </c>
      <c r="B8" s="62">
        <v>486324.3</v>
      </c>
      <c r="C8" s="69"/>
      <c r="D8" s="62"/>
      <c r="E8" s="69"/>
      <c r="F8" s="67"/>
      <c r="G8" s="67"/>
      <c r="H8" s="62"/>
      <c r="I8" s="69"/>
      <c r="J8" s="67"/>
      <c r="K8" s="67"/>
      <c r="L8" s="62"/>
      <c r="M8" s="69"/>
      <c r="N8" s="67"/>
      <c r="O8" s="69"/>
      <c r="P8" s="62"/>
      <c r="Q8" s="69"/>
      <c r="R8" s="67"/>
      <c r="S8" s="69"/>
      <c r="T8" s="62"/>
      <c r="U8" s="69"/>
      <c r="V8" s="67"/>
      <c r="W8" s="69"/>
      <c r="X8" s="53" t="s">
        <v>38</v>
      </c>
      <c r="Y8" s="62"/>
      <c r="Z8" s="69"/>
      <c r="AA8" s="67"/>
      <c r="AB8" s="69"/>
      <c r="AC8" s="62"/>
      <c r="AD8" s="69"/>
      <c r="AE8" s="67"/>
      <c r="AF8" s="69"/>
      <c r="AG8" s="58"/>
      <c r="AH8" s="69"/>
      <c r="AI8" s="67"/>
      <c r="AJ8" s="69"/>
      <c r="AK8" s="62"/>
      <c r="AL8" s="69"/>
      <c r="AM8" s="67"/>
      <c r="AN8" s="69"/>
      <c r="AO8" s="62"/>
      <c r="AP8" s="69"/>
      <c r="AQ8" s="68"/>
      <c r="AR8" s="68"/>
      <c r="AS8" s="58"/>
      <c r="AT8" s="69"/>
      <c r="AU8" s="68"/>
      <c r="AV8" s="56"/>
    </row>
    <row r="9" spans="1:47" ht="7.5" customHeight="1">
      <c r="A9" s="53"/>
      <c r="B9" s="62"/>
      <c r="C9" s="69"/>
      <c r="D9" s="62"/>
      <c r="E9" s="69"/>
      <c r="F9" s="67"/>
      <c r="G9" s="67"/>
      <c r="H9" s="62"/>
      <c r="I9" s="69"/>
      <c r="J9" s="67"/>
      <c r="K9" s="67"/>
      <c r="L9" s="62"/>
      <c r="M9" s="69"/>
      <c r="N9" s="67"/>
      <c r="O9" s="69"/>
      <c r="P9" s="62"/>
      <c r="Q9" s="69"/>
      <c r="R9" s="67"/>
      <c r="S9" s="69"/>
      <c r="T9" s="62"/>
      <c r="U9" s="69"/>
      <c r="V9" s="67"/>
      <c r="W9" s="69"/>
      <c r="X9" s="53"/>
      <c r="Y9" s="62"/>
      <c r="Z9" s="69"/>
      <c r="AA9" s="67"/>
      <c r="AB9" s="69"/>
      <c r="AC9" s="62"/>
      <c r="AD9" s="69"/>
      <c r="AE9" s="67"/>
      <c r="AF9" s="69"/>
      <c r="AG9" s="62"/>
      <c r="AH9" s="69"/>
      <c r="AI9" s="67"/>
      <c r="AJ9" s="69"/>
      <c r="AK9" s="62"/>
      <c r="AL9" s="69"/>
      <c r="AM9" s="67"/>
      <c r="AN9" s="69"/>
      <c r="AO9" s="62"/>
      <c r="AP9" s="69"/>
      <c r="AQ9" s="68"/>
      <c r="AR9" s="68"/>
      <c r="AS9" s="62"/>
      <c r="AT9" s="69"/>
      <c r="AU9" s="68"/>
    </row>
    <row r="10" spans="1:47" ht="12.75" customHeight="1">
      <c r="A10" s="52" t="s">
        <v>39</v>
      </c>
      <c r="B10" s="62"/>
      <c r="C10" s="69"/>
      <c r="D10" s="62"/>
      <c r="E10" s="69"/>
      <c r="F10" s="67"/>
      <c r="G10" s="67"/>
      <c r="H10" s="62"/>
      <c r="I10" s="69"/>
      <c r="J10" s="67"/>
      <c r="K10" s="67"/>
      <c r="L10" s="62"/>
      <c r="M10" s="69"/>
      <c r="N10" s="67"/>
      <c r="O10" s="69"/>
      <c r="P10" s="62"/>
      <c r="Q10" s="69"/>
      <c r="R10" s="67"/>
      <c r="S10" s="69"/>
      <c r="T10" s="62"/>
      <c r="U10" s="69"/>
      <c r="V10" s="67"/>
      <c r="W10" s="69"/>
      <c r="X10" s="52" t="s">
        <v>39</v>
      </c>
      <c r="Y10" s="62"/>
      <c r="Z10" s="69"/>
      <c r="AA10" s="67"/>
      <c r="AB10" s="69"/>
      <c r="AC10" s="62"/>
      <c r="AD10" s="69"/>
      <c r="AE10" s="67"/>
      <c r="AF10" s="69"/>
      <c r="AG10" s="62"/>
      <c r="AH10" s="69"/>
      <c r="AI10" s="67"/>
      <c r="AJ10" s="69"/>
      <c r="AK10" s="62"/>
      <c r="AL10" s="69"/>
      <c r="AM10" s="67"/>
      <c r="AN10" s="69"/>
      <c r="AO10" s="62"/>
      <c r="AP10" s="69"/>
      <c r="AQ10" s="68"/>
      <c r="AR10" s="68"/>
      <c r="AS10" s="62"/>
      <c r="AT10" s="69"/>
      <c r="AU10" s="68"/>
    </row>
    <row r="11" spans="1:47" ht="12" customHeight="1">
      <c r="A11" s="53" t="s">
        <v>82</v>
      </c>
      <c r="B11" s="62">
        <v>8583.11</v>
      </c>
      <c r="C11" s="69"/>
      <c r="D11" s="62"/>
      <c r="E11" s="69"/>
      <c r="F11" s="67"/>
      <c r="G11" s="67"/>
      <c r="H11" s="62"/>
      <c r="I11" s="69"/>
      <c r="J11" s="67"/>
      <c r="K11" s="67"/>
      <c r="L11" s="62"/>
      <c r="M11" s="69"/>
      <c r="N11" s="67"/>
      <c r="O11" s="69"/>
      <c r="P11" s="62"/>
      <c r="Q11" s="69"/>
      <c r="R11" s="67"/>
      <c r="S11" s="69"/>
      <c r="T11" s="62"/>
      <c r="U11" s="69"/>
      <c r="V11" s="67"/>
      <c r="W11" s="69"/>
      <c r="X11" s="53" t="s">
        <v>82</v>
      </c>
      <c r="Y11" s="62"/>
      <c r="Z11" s="69"/>
      <c r="AA11" s="68"/>
      <c r="AB11" s="69"/>
      <c r="AC11" s="62"/>
      <c r="AD11" s="69"/>
      <c r="AE11" s="68"/>
      <c r="AF11" s="69"/>
      <c r="AG11" s="62"/>
      <c r="AH11" s="69"/>
      <c r="AI11" s="67"/>
      <c r="AJ11" s="69"/>
      <c r="AK11" s="62"/>
      <c r="AL11" s="69"/>
      <c r="AM11" s="67"/>
      <c r="AN11" s="69"/>
      <c r="AO11" s="62"/>
      <c r="AP11" s="69"/>
      <c r="AQ11" s="68"/>
      <c r="AR11" s="68"/>
      <c r="AS11" s="58"/>
      <c r="AT11" s="69"/>
      <c r="AU11" s="68"/>
    </row>
    <row r="12" spans="1:47" ht="12" customHeight="1">
      <c r="A12" s="53" t="s">
        <v>40</v>
      </c>
      <c r="B12" s="62">
        <f>39720.4+11692</f>
        <v>51412.4</v>
      </c>
      <c r="C12" s="69"/>
      <c r="D12" s="62"/>
      <c r="E12" s="69"/>
      <c r="F12" s="67"/>
      <c r="G12" s="67"/>
      <c r="H12" s="62"/>
      <c r="I12" s="69"/>
      <c r="J12" s="67"/>
      <c r="K12" s="67"/>
      <c r="L12" s="62"/>
      <c r="M12" s="69"/>
      <c r="N12" s="67"/>
      <c r="O12" s="69"/>
      <c r="P12" s="62"/>
      <c r="Q12" s="69"/>
      <c r="R12" s="67"/>
      <c r="S12" s="69"/>
      <c r="T12" s="62"/>
      <c r="U12" s="69"/>
      <c r="V12" s="67"/>
      <c r="W12" s="69"/>
      <c r="X12" s="53" t="s">
        <v>40</v>
      </c>
      <c r="Y12" s="62"/>
      <c r="Z12" s="69"/>
      <c r="AA12" s="67"/>
      <c r="AB12" s="69"/>
      <c r="AC12" s="62"/>
      <c r="AD12" s="69"/>
      <c r="AE12" s="67"/>
      <c r="AF12" s="69"/>
      <c r="AG12" s="62"/>
      <c r="AH12" s="69"/>
      <c r="AI12" s="69"/>
      <c r="AJ12" s="69"/>
      <c r="AK12" s="62"/>
      <c r="AL12" s="69"/>
      <c r="AM12" s="67"/>
      <c r="AN12" s="69"/>
      <c r="AO12" s="62"/>
      <c r="AP12" s="69"/>
      <c r="AQ12" s="68"/>
      <c r="AR12" s="68"/>
      <c r="AS12" s="58"/>
      <c r="AT12" s="69"/>
      <c r="AU12" s="68"/>
    </row>
    <row r="13" spans="1:47" ht="12" customHeight="1">
      <c r="A13" s="53" t="s">
        <v>41</v>
      </c>
      <c r="B13" s="62">
        <v>-29.85</v>
      </c>
      <c r="C13" s="69"/>
      <c r="D13" s="62"/>
      <c r="E13" s="69"/>
      <c r="F13" s="67"/>
      <c r="G13" s="67"/>
      <c r="H13" s="62"/>
      <c r="I13" s="69"/>
      <c r="J13" s="67"/>
      <c r="K13" s="67"/>
      <c r="L13" s="62"/>
      <c r="M13" s="69"/>
      <c r="N13" s="67"/>
      <c r="O13" s="69"/>
      <c r="P13" s="62"/>
      <c r="Q13" s="69"/>
      <c r="R13" s="67"/>
      <c r="S13" s="69"/>
      <c r="T13" s="62"/>
      <c r="U13" s="69"/>
      <c r="V13" s="67"/>
      <c r="W13" s="69"/>
      <c r="X13" s="53" t="s">
        <v>41</v>
      </c>
      <c r="Y13" s="62"/>
      <c r="Z13" s="69"/>
      <c r="AA13" s="67"/>
      <c r="AB13" s="69"/>
      <c r="AC13" s="62"/>
      <c r="AD13" s="69"/>
      <c r="AE13" s="67"/>
      <c r="AF13" s="69"/>
      <c r="AG13" s="62"/>
      <c r="AH13" s="69"/>
      <c r="AI13" s="69"/>
      <c r="AJ13" s="69"/>
      <c r="AK13" s="62"/>
      <c r="AL13" s="69"/>
      <c r="AM13" s="67"/>
      <c r="AN13" s="69"/>
      <c r="AO13" s="62"/>
      <c r="AP13" s="69"/>
      <c r="AQ13" s="68"/>
      <c r="AR13" s="68"/>
      <c r="AS13" s="58"/>
      <c r="AT13" s="69"/>
      <c r="AU13" s="68"/>
    </row>
    <row r="14" spans="1:47" ht="12" customHeight="1">
      <c r="A14" s="53" t="s">
        <v>42</v>
      </c>
      <c r="B14" s="62">
        <v>10049.23</v>
      </c>
      <c r="C14" s="69"/>
      <c r="D14" s="62"/>
      <c r="E14" s="69"/>
      <c r="F14" s="67"/>
      <c r="G14" s="67"/>
      <c r="H14" s="62"/>
      <c r="I14" s="69"/>
      <c r="J14" s="67"/>
      <c r="K14" s="67"/>
      <c r="L14" s="62"/>
      <c r="M14" s="69"/>
      <c r="N14" s="68"/>
      <c r="O14" s="69"/>
      <c r="P14" s="62"/>
      <c r="Q14" s="69"/>
      <c r="R14" s="67"/>
      <c r="S14" s="69"/>
      <c r="T14" s="62"/>
      <c r="U14" s="69"/>
      <c r="V14" s="67"/>
      <c r="W14" s="69"/>
      <c r="X14" s="53" t="s">
        <v>42</v>
      </c>
      <c r="Y14" s="62"/>
      <c r="Z14" s="69"/>
      <c r="AA14" s="67"/>
      <c r="AB14" s="69"/>
      <c r="AC14" s="62"/>
      <c r="AD14" s="69"/>
      <c r="AE14" s="67"/>
      <c r="AF14" s="69"/>
      <c r="AG14" s="62"/>
      <c r="AH14" s="69"/>
      <c r="AI14" s="69"/>
      <c r="AJ14" s="69"/>
      <c r="AK14" s="62"/>
      <c r="AL14" s="69"/>
      <c r="AM14" s="67"/>
      <c r="AN14" s="69"/>
      <c r="AO14" s="62"/>
      <c r="AP14" s="69"/>
      <c r="AQ14" s="68"/>
      <c r="AR14" s="68"/>
      <c r="AS14" s="58"/>
      <c r="AT14" s="69"/>
      <c r="AU14" s="68"/>
    </row>
    <row r="15" spans="1:47" ht="12" customHeight="1">
      <c r="A15" s="53" t="s">
        <v>43</v>
      </c>
      <c r="B15" s="62">
        <v>18123.42</v>
      </c>
      <c r="C15" s="69"/>
      <c r="D15" s="62"/>
      <c r="E15" s="69"/>
      <c r="F15" s="67"/>
      <c r="G15" s="67"/>
      <c r="H15" s="62"/>
      <c r="I15" s="69"/>
      <c r="J15" s="67"/>
      <c r="K15" s="67"/>
      <c r="L15" s="62"/>
      <c r="M15" s="69"/>
      <c r="N15" s="68"/>
      <c r="O15" s="69"/>
      <c r="P15" s="62"/>
      <c r="Q15" s="69"/>
      <c r="R15" s="67"/>
      <c r="S15" s="69"/>
      <c r="T15" s="62"/>
      <c r="U15" s="69"/>
      <c r="V15" s="67"/>
      <c r="W15" s="69"/>
      <c r="X15" s="53" t="s">
        <v>43</v>
      </c>
      <c r="Y15" s="62"/>
      <c r="Z15" s="69"/>
      <c r="AA15" s="67"/>
      <c r="AB15" s="69"/>
      <c r="AC15" s="62"/>
      <c r="AD15" s="69"/>
      <c r="AE15" s="67"/>
      <c r="AF15" s="69"/>
      <c r="AG15" s="62"/>
      <c r="AH15" s="69"/>
      <c r="AI15" s="69"/>
      <c r="AJ15" s="69"/>
      <c r="AK15" s="62"/>
      <c r="AL15" s="69"/>
      <c r="AM15" s="67"/>
      <c r="AN15" s="69"/>
      <c r="AO15" s="62"/>
      <c r="AP15" s="69"/>
      <c r="AQ15" s="68"/>
      <c r="AR15" s="68"/>
      <c r="AS15" s="58"/>
      <c r="AT15" s="69"/>
      <c r="AU15" s="68"/>
    </row>
    <row r="16" spans="1:47" ht="12" customHeight="1">
      <c r="A16" s="53" t="s">
        <v>44</v>
      </c>
      <c r="B16" s="62">
        <f>193528.23+44700</f>
        <v>238228.23</v>
      </c>
      <c r="C16" s="69"/>
      <c r="D16" s="62"/>
      <c r="E16" s="69"/>
      <c r="F16" s="67"/>
      <c r="G16" s="67"/>
      <c r="H16" s="62"/>
      <c r="I16" s="69"/>
      <c r="J16" s="67"/>
      <c r="K16" s="67"/>
      <c r="L16" s="62"/>
      <c r="M16" s="69"/>
      <c r="N16" s="67"/>
      <c r="O16" s="69"/>
      <c r="P16" s="62"/>
      <c r="Q16" s="69"/>
      <c r="R16" s="67"/>
      <c r="S16" s="69"/>
      <c r="T16" s="62"/>
      <c r="U16" s="69"/>
      <c r="V16" s="67"/>
      <c r="W16" s="69"/>
      <c r="X16" s="53" t="s">
        <v>44</v>
      </c>
      <c r="Y16" s="62"/>
      <c r="Z16" s="69"/>
      <c r="AA16" s="67"/>
      <c r="AB16" s="69"/>
      <c r="AC16" s="62"/>
      <c r="AD16" s="69"/>
      <c r="AE16" s="67"/>
      <c r="AF16" s="69"/>
      <c r="AG16" s="62"/>
      <c r="AH16" s="69"/>
      <c r="AI16" s="69"/>
      <c r="AJ16" s="69"/>
      <c r="AK16" s="62"/>
      <c r="AL16" s="69"/>
      <c r="AM16" s="67"/>
      <c r="AN16" s="69"/>
      <c r="AO16" s="62"/>
      <c r="AP16" s="69"/>
      <c r="AQ16" s="68"/>
      <c r="AR16" s="68"/>
      <c r="AS16" s="58"/>
      <c r="AT16" s="69"/>
      <c r="AU16" s="68"/>
    </row>
    <row r="17" spans="1:48" ht="12" customHeight="1">
      <c r="A17" s="53" t="s">
        <v>45</v>
      </c>
      <c r="B17" s="62">
        <v>875</v>
      </c>
      <c r="C17" s="69"/>
      <c r="D17" s="62"/>
      <c r="E17" s="69"/>
      <c r="F17" s="67"/>
      <c r="G17" s="67"/>
      <c r="H17" s="62"/>
      <c r="I17" s="69"/>
      <c r="J17" s="67"/>
      <c r="K17" s="67"/>
      <c r="L17" s="62"/>
      <c r="M17" s="69"/>
      <c r="N17" s="67"/>
      <c r="O17" s="69"/>
      <c r="P17" s="62"/>
      <c r="Q17" s="69"/>
      <c r="R17" s="67"/>
      <c r="S17" s="69"/>
      <c r="T17" s="62"/>
      <c r="U17" s="69"/>
      <c r="V17" s="67"/>
      <c r="W17" s="69"/>
      <c r="X17" s="53" t="s">
        <v>45</v>
      </c>
      <c r="Y17" s="62"/>
      <c r="Z17" s="69"/>
      <c r="AA17" s="67"/>
      <c r="AB17" s="69"/>
      <c r="AC17" s="62"/>
      <c r="AD17" s="69"/>
      <c r="AE17" s="67"/>
      <c r="AF17" s="69"/>
      <c r="AG17" s="62"/>
      <c r="AH17" s="69"/>
      <c r="AI17" s="69"/>
      <c r="AJ17" s="69"/>
      <c r="AK17" s="62"/>
      <c r="AL17" s="69"/>
      <c r="AM17" s="67"/>
      <c r="AN17" s="69"/>
      <c r="AO17" s="62"/>
      <c r="AP17" s="69"/>
      <c r="AQ17" s="68"/>
      <c r="AR17" s="68"/>
      <c r="AS17" s="58"/>
      <c r="AT17" s="69"/>
      <c r="AU17" s="68"/>
      <c r="AV17" s="56"/>
    </row>
    <row r="18" spans="1:47" ht="12" customHeight="1">
      <c r="A18" s="53" t="s">
        <v>46</v>
      </c>
      <c r="B18" s="62">
        <v>56976.81</v>
      </c>
      <c r="C18" s="69"/>
      <c r="D18" s="62"/>
      <c r="E18" s="69"/>
      <c r="F18" s="67"/>
      <c r="G18" s="67"/>
      <c r="H18" s="62"/>
      <c r="I18" s="69"/>
      <c r="J18" s="67"/>
      <c r="K18" s="67"/>
      <c r="L18" s="62"/>
      <c r="M18" s="69"/>
      <c r="N18" s="67"/>
      <c r="O18" s="69"/>
      <c r="P18" s="62"/>
      <c r="Q18" s="69"/>
      <c r="R18" s="67"/>
      <c r="S18" s="69"/>
      <c r="T18" s="62"/>
      <c r="U18" s="69"/>
      <c r="V18" s="67"/>
      <c r="W18" s="69"/>
      <c r="X18" s="53" t="s">
        <v>46</v>
      </c>
      <c r="Y18" s="62"/>
      <c r="Z18" s="69"/>
      <c r="AA18" s="67"/>
      <c r="AB18" s="69"/>
      <c r="AC18" s="62"/>
      <c r="AD18" s="69"/>
      <c r="AE18" s="67"/>
      <c r="AF18" s="69"/>
      <c r="AG18" s="62"/>
      <c r="AH18" s="69"/>
      <c r="AI18" s="69"/>
      <c r="AJ18" s="69"/>
      <c r="AK18" s="62"/>
      <c r="AL18" s="69"/>
      <c r="AM18" s="67"/>
      <c r="AN18" s="69"/>
      <c r="AO18" s="62"/>
      <c r="AP18" s="69"/>
      <c r="AQ18" s="68"/>
      <c r="AR18" s="68"/>
      <c r="AS18" s="58"/>
      <c r="AT18" s="69"/>
      <c r="AU18" s="68"/>
    </row>
    <row r="19" spans="1:47" ht="12" customHeight="1">
      <c r="A19" s="53" t="s">
        <v>47</v>
      </c>
      <c r="B19" s="62">
        <v>83</v>
      </c>
      <c r="C19" s="69"/>
      <c r="D19" s="62"/>
      <c r="E19" s="69"/>
      <c r="F19" s="67"/>
      <c r="G19" s="67"/>
      <c r="H19" s="62"/>
      <c r="I19" s="69"/>
      <c r="J19" s="67"/>
      <c r="K19" s="67"/>
      <c r="L19" s="62"/>
      <c r="M19" s="69"/>
      <c r="N19" s="67"/>
      <c r="O19" s="69"/>
      <c r="P19" s="62"/>
      <c r="Q19" s="69"/>
      <c r="R19" s="67"/>
      <c r="S19" s="69"/>
      <c r="T19" s="62"/>
      <c r="U19" s="69"/>
      <c r="V19" s="67"/>
      <c r="W19" s="69"/>
      <c r="X19" s="53" t="s">
        <v>47</v>
      </c>
      <c r="Y19" s="62"/>
      <c r="Z19" s="69"/>
      <c r="AA19" s="67"/>
      <c r="AB19" s="69"/>
      <c r="AC19" s="62"/>
      <c r="AD19" s="69"/>
      <c r="AE19" s="67"/>
      <c r="AF19" s="69"/>
      <c r="AG19" s="62"/>
      <c r="AH19" s="69"/>
      <c r="AI19" s="69"/>
      <c r="AJ19" s="69"/>
      <c r="AK19" s="62"/>
      <c r="AL19" s="69"/>
      <c r="AM19" s="67"/>
      <c r="AN19" s="69"/>
      <c r="AO19" s="62"/>
      <c r="AP19" s="69"/>
      <c r="AQ19" s="68"/>
      <c r="AR19" s="68"/>
      <c r="AS19" s="58"/>
      <c r="AT19" s="69"/>
      <c r="AU19" s="68"/>
    </row>
    <row r="20" spans="1:47" ht="12" customHeight="1">
      <c r="A20" s="53" t="s">
        <v>48</v>
      </c>
      <c r="B20" s="62">
        <f>528+747.6+660</f>
        <v>1935.6</v>
      </c>
      <c r="C20" s="69"/>
      <c r="D20" s="62"/>
      <c r="E20" s="69"/>
      <c r="F20" s="67"/>
      <c r="G20" s="67"/>
      <c r="H20" s="62"/>
      <c r="I20" s="69"/>
      <c r="J20" s="67"/>
      <c r="K20" s="67"/>
      <c r="L20" s="62"/>
      <c r="M20" s="69"/>
      <c r="N20" s="67"/>
      <c r="O20" s="69"/>
      <c r="P20" s="62"/>
      <c r="Q20" s="69"/>
      <c r="R20" s="67"/>
      <c r="S20" s="69"/>
      <c r="T20" s="62"/>
      <c r="U20" s="69"/>
      <c r="V20" s="67"/>
      <c r="W20" s="69"/>
      <c r="X20" s="53" t="s">
        <v>48</v>
      </c>
      <c r="Y20" s="62"/>
      <c r="Z20" s="69"/>
      <c r="AA20" s="67"/>
      <c r="AB20" s="69"/>
      <c r="AC20" s="62"/>
      <c r="AD20" s="69"/>
      <c r="AE20" s="67"/>
      <c r="AF20" s="69"/>
      <c r="AG20" s="62"/>
      <c r="AH20" s="69"/>
      <c r="AI20" s="69"/>
      <c r="AJ20" s="69"/>
      <c r="AK20" s="62"/>
      <c r="AL20" s="69"/>
      <c r="AM20" s="67"/>
      <c r="AN20" s="69"/>
      <c r="AO20" s="62"/>
      <c r="AP20" s="69"/>
      <c r="AQ20" s="68"/>
      <c r="AR20" s="68"/>
      <c r="AS20" s="58"/>
      <c r="AT20" s="69"/>
      <c r="AU20" s="68"/>
    </row>
    <row r="21" spans="1:47" ht="12" customHeight="1">
      <c r="A21" s="53" t="s">
        <v>80</v>
      </c>
      <c r="B21" s="62">
        <v>1564.5</v>
      </c>
      <c r="C21" s="69"/>
      <c r="D21" s="62"/>
      <c r="E21" s="69"/>
      <c r="F21" s="67"/>
      <c r="G21" s="67"/>
      <c r="H21" s="62"/>
      <c r="I21" s="69"/>
      <c r="J21" s="67"/>
      <c r="K21" s="67"/>
      <c r="L21" s="62"/>
      <c r="M21" s="69"/>
      <c r="N21" s="67"/>
      <c r="O21" s="69"/>
      <c r="P21" s="62"/>
      <c r="Q21" s="69"/>
      <c r="R21" s="67"/>
      <c r="S21" s="69"/>
      <c r="T21" s="62"/>
      <c r="U21" s="69"/>
      <c r="V21" s="67"/>
      <c r="W21" s="69"/>
      <c r="X21" s="53" t="s">
        <v>80</v>
      </c>
      <c r="Y21" s="62"/>
      <c r="Z21" s="69"/>
      <c r="AA21" s="67"/>
      <c r="AB21" s="69"/>
      <c r="AC21" s="62"/>
      <c r="AD21" s="69"/>
      <c r="AE21" s="67"/>
      <c r="AF21" s="69"/>
      <c r="AG21" s="62"/>
      <c r="AH21" s="69"/>
      <c r="AI21" s="67"/>
      <c r="AJ21" s="69"/>
      <c r="AK21" s="62"/>
      <c r="AL21" s="69"/>
      <c r="AM21" s="67"/>
      <c r="AN21" s="69"/>
      <c r="AO21" s="62"/>
      <c r="AP21" s="69"/>
      <c r="AQ21" s="68"/>
      <c r="AR21" s="68"/>
      <c r="AS21" s="58"/>
      <c r="AT21" s="69"/>
      <c r="AU21" s="68"/>
    </row>
    <row r="22" spans="1:47" ht="12" customHeight="1">
      <c r="A22" s="53" t="s">
        <v>81</v>
      </c>
      <c r="B22" s="62"/>
      <c r="C22" s="69"/>
      <c r="D22" s="62"/>
      <c r="E22" s="69"/>
      <c r="F22" s="67"/>
      <c r="G22" s="67"/>
      <c r="H22" s="62"/>
      <c r="I22" s="69"/>
      <c r="J22" s="67"/>
      <c r="K22" s="67"/>
      <c r="L22" s="62"/>
      <c r="M22" s="69"/>
      <c r="N22" s="67"/>
      <c r="O22" s="69"/>
      <c r="P22" s="62"/>
      <c r="Q22" s="69"/>
      <c r="R22" s="67"/>
      <c r="S22" s="69"/>
      <c r="T22" s="62"/>
      <c r="U22" s="69"/>
      <c r="V22" s="67"/>
      <c r="W22" s="69"/>
      <c r="X22" s="53" t="s">
        <v>81</v>
      </c>
      <c r="Y22" s="62">
        <f>AA22-V22</f>
        <v>0</v>
      </c>
      <c r="Z22" s="69"/>
      <c r="AA22" s="67"/>
      <c r="AB22" s="69"/>
      <c r="AC22" s="62">
        <f>AE22-AA22</f>
        <v>0</v>
      </c>
      <c r="AD22" s="69"/>
      <c r="AE22" s="67"/>
      <c r="AF22" s="69"/>
      <c r="AG22" s="62"/>
      <c r="AH22" s="69"/>
      <c r="AI22" s="67"/>
      <c r="AJ22" s="69"/>
      <c r="AK22" s="62"/>
      <c r="AL22" s="69"/>
      <c r="AM22" s="67"/>
      <c r="AN22" s="69"/>
      <c r="AO22" s="62"/>
      <c r="AP22" s="69"/>
      <c r="AQ22" s="67"/>
      <c r="AR22" s="67"/>
      <c r="AS22" s="62"/>
      <c r="AT22" s="69"/>
      <c r="AU22" s="67"/>
    </row>
    <row r="23" spans="1:47" ht="12" customHeight="1">
      <c r="A23" s="53"/>
      <c r="B23" s="62"/>
      <c r="C23" s="69"/>
      <c r="D23" s="62"/>
      <c r="E23" s="69"/>
      <c r="F23" s="67"/>
      <c r="G23" s="67"/>
      <c r="H23" s="62"/>
      <c r="I23" s="69"/>
      <c r="J23" s="67"/>
      <c r="K23" s="67"/>
      <c r="L23" s="62"/>
      <c r="M23" s="69"/>
      <c r="N23" s="67"/>
      <c r="O23" s="69"/>
      <c r="P23" s="62"/>
      <c r="Q23" s="69"/>
      <c r="R23" s="67"/>
      <c r="S23" s="69"/>
      <c r="T23" s="62"/>
      <c r="U23" s="69"/>
      <c r="V23" s="67"/>
      <c r="W23" s="69"/>
      <c r="X23" s="53"/>
      <c r="Y23" s="62"/>
      <c r="Z23" s="69"/>
      <c r="AA23" s="67"/>
      <c r="AB23" s="69"/>
      <c r="AC23" s="62"/>
      <c r="AD23" s="69"/>
      <c r="AE23" s="67"/>
      <c r="AF23" s="69"/>
      <c r="AG23" s="62"/>
      <c r="AH23" s="69"/>
      <c r="AI23" s="67"/>
      <c r="AJ23" s="69"/>
      <c r="AK23" s="62"/>
      <c r="AL23" s="69"/>
      <c r="AM23" s="67"/>
      <c r="AN23" s="69"/>
      <c r="AO23" s="62"/>
      <c r="AP23" s="69"/>
      <c r="AQ23" s="67"/>
      <c r="AR23" s="67"/>
      <c r="AS23" s="62"/>
      <c r="AT23" s="69"/>
      <c r="AU23" s="67"/>
    </row>
    <row r="24" spans="1:49" ht="15" customHeight="1">
      <c r="A24" s="52" t="s">
        <v>49</v>
      </c>
      <c r="B24" s="84">
        <f>SUM(B8:B23)+B5</f>
        <v>989183.9699999999</v>
      </c>
      <c r="C24" s="71"/>
      <c r="D24" s="84">
        <f>SUM(D8:D22)+D5</f>
        <v>0</v>
      </c>
      <c r="E24" s="71"/>
      <c r="F24" s="85">
        <f>SUM(F8:F22)+F5</f>
        <v>0</v>
      </c>
      <c r="G24" s="64"/>
      <c r="H24" s="84">
        <f>SUM(H8:H22)+H5</f>
        <v>0</v>
      </c>
      <c r="I24" s="71"/>
      <c r="J24" s="85">
        <f>SUM(J8:J22)+J5</f>
        <v>0</v>
      </c>
      <c r="K24" s="64"/>
      <c r="L24" s="84">
        <f>SUM(L8:L22)+L5</f>
        <v>0</v>
      </c>
      <c r="M24" s="71"/>
      <c r="N24" s="85">
        <f>SUM(N8:N22)+N5</f>
        <v>0</v>
      </c>
      <c r="O24" s="71"/>
      <c r="P24" s="84">
        <f>SUM(P8:P22)+P5</f>
        <v>0</v>
      </c>
      <c r="Q24" s="71"/>
      <c r="R24" s="85">
        <f>SUM(R8:R22)+R5</f>
        <v>0</v>
      </c>
      <c r="S24" s="71"/>
      <c r="T24" s="84">
        <f>SUM(T8:T22)+T5</f>
        <v>0</v>
      </c>
      <c r="U24" s="71"/>
      <c r="V24" s="85">
        <f>SUM(V8:V22)+V5</f>
        <v>0</v>
      </c>
      <c r="W24" s="71"/>
      <c r="X24" s="52" t="s">
        <v>49</v>
      </c>
      <c r="Y24" s="84">
        <f>SUM(Y8:Y22)+Y5</f>
        <v>0</v>
      </c>
      <c r="Z24" s="71"/>
      <c r="AA24" s="85">
        <f>SUM(AA8:AA22)+AA5</f>
        <v>0</v>
      </c>
      <c r="AB24" s="71"/>
      <c r="AC24" s="84">
        <f>SUM(AC8:AC22)+AC5</f>
        <v>0</v>
      </c>
      <c r="AD24" s="71"/>
      <c r="AE24" s="85">
        <f>SUM(AE8:AE22)+AE5</f>
        <v>0</v>
      </c>
      <c r="AF24" s="71"/>
      <c r="AG24" s="84">
        <f>SUM(AG8:AG22)+AG5</f>
        <v>0</v>
      </c>
      <c r="AH24" s="71"/>
      <c r="AI24" s="85">
        <f>SUM(AI11:AI23)+AI5+AI8</f>
        <v>0</v>
      </c>
      <c r="AJ24" s="71"/>
      <c r="AK24" s="84">
        <f>SUM(AK8:AK22)+AK5</f>
        <v>0</v>
      </c>
      <c r="AL24" s="71"/>
      <c r="AM24" s="85">
        <f>SUM(AM8:AM22)+AM5</f>
        <v>0</v>
      </c>
      <c r="AN24" s="71"/>
      <c r="AO24" s="84">
        <f>SUM(AO8:AO22)+AO5</f>
        <v>0</v>
      </c>
      <c r="AP24" s="71"/>
      <c r="AQ24" s="85">
        <f>SUM(AQ8:AQ22)+AQ5</f>
        <v>0</v>
      </c>
      <c r="AR24" s="64"/>
      <c r="AS24" s="84">
        <f>SUM(AS8:AS22)+AS5</f>
        <v>0</v>
      </c>
      <c r="AT24" s="71"/>
      <c r="AU24" s="85">
        <f>SUM(AU8:AU22)+AU5</f>
        <v>0</v>
      </c>
      <c r="AV24" s="57"/>
      <c r="AW24" s="57"/>
    </row>
    <row r="25" spans="1:48" ht="12" customHeight="1">
      <c r="A25" s="52"/>
      <c r="B25" s="60"/>
      <c r="C25" s="71"/>
      <c r="D25" s="60"/>
      <c r="E25" s="71"/>
      <c r="F25" s="64"/>
      <c r="G25" s="64"/>
      <c r="H25" s="60"/>
      <c r="I25" s="71"/>
      <c r="J25" s="64"/>
      <c r="K25" s="64"/>
      <c r="L25" s="60"/>
      <c r="M25" s="71"/>
      <c r="N25" s="64"/>
      <c r="O25" s="71"/>
      <c r="P25" s="60"/>
      <c r="Q25" s="71"/>
      <c r="R25" s="64"/>
      <c r="S25" s="71"/>
      <c r="T25" s="60"/>
      <c r="U25" s="71"/>
      <c r="V25" s="64"/>
      <c r="W25" s="71"/>
      <c r="X25" s="52"/>
      <c r="Y25" s="60"/>
      <c r="Z25" s="71"/>
      <c r="AA25" s="64"/>
      <c r="AB25" s="71"/>
      <c r="AC25" s="60"/>
      <c r="AD25" s="71"/>
      <c r="AE25" s="64"/>
      <c r="AF25" s="71"/>
      <c r="AG25" s="60"/>
      <c r="AH25" s="71"/>
      <c r="AI25" s="64"/>
      <c r="AJ25" s="71"/>
      <c r="AK25" s="60"/>
      <c r="AL25" s="71"/>
      <c r="AM25" s="64"/>
      <c r="AN25" s="71"/>
      <c r="AO25" s="60"/>
      <c r="AP25" s="71"/>
      <c r="AQ25" s="64"/>
      <c r="AR25" s="64"/>
      <c r="AS25" s="60"/>
      <c r="AT25" s="71"/>
      <c r="AU25" s="64"/>
      <c r="AV25" s="57"/>
    </row>
    <row r="26" spans="1:47" ht="15" customHeight="1">
      <c r="A26" s="52" t="s">
        <v>50</v>
      </c>
      <c r="B26" s="61"/>
      <c r="C26" s="72"/>
      <c r="D26" s="61"/>
      <c r="E26" s="72"/>
      <c r="F26" s="65"/>
      <c r="G26" s="65"/>
      <c r="H26" s="61"/>
      <c r="I26" s="72"/>
      <c r="J26" s="65"/>
      <c r="K26" s="65"/>
      <c r="L26" s="61"/>
      <c r="M26" s="72"/>
      <c r="N26" s="65"/>
      <c r="O26" s="72"/>
      <c r="P26" s="61"/>
      <c r="Q26" s="72"/>
      <c r="R26" s="65"/>
      <c r="S26" s="72"/>
      <c r="T26" s="61"/>
      <c r="U26" s="72"/>
      <c r="V26" s="65"/>
      <c r="W26" s="72"/>
      <c r="X26" s="52" t="s">
        <v>50</v>
      </c>
      <c r="Y26" s="61"/>
      <c r="Z26" s="72"/>
      <c r="AA26" s="65"/>
      <c r="AB26" s="72"/>
      <c r="AC26" s="61"/>
      <c r="AD26" s="72"/>
      <c r="AE26" s="65"/>
      <c r="AF26" s="72"/>
      <c r="AG26" s="61"/>
      <c r="AH26" s="72"/>
      <c r="AI26" s="65"/>
      <c r="AJ26" s="72"/>
      <c r="AK26" s="61"/>
      <c r="AL26" s="72"/>
      <c r="AM26" s="65"/>
      <c r="AN26" s="72"/>
      <c r="AO26" s="61"/>
      <c r="AP26" s="72"/>
      <c r="AQ26" s="65"/>
      <c r="AR26" s="65"/>
      <c r="AS26" s="61"/>
      <c r="AT26" s="72"/>
      <c r="AU26" s="65"/>
    </row>
    <row r="27" spans="1:47" ht="12" customHeight="1">
      <c r="A27" s="52"/>
      <c r="B27" s="61"/>
      <c r="C27" s="72"/>
      <c r="D27" s="61"/>
      <c r="E27" s="72"/>
      <c r="F27" s="65"/>
      <c r="G27" s="65"/>
      <c r="H27" s="61"/>
      <c r="I27" s="72"/>
      <c r="J27" s="65"/>
      <c r="K27" s="65"/>
      <c r="L27" s="61"/>
      <c r="M27" s="72"/>
      <c r="N27" s="65"/>
      <c r="O27" s="72"/>
      <c r="P27" s="61"/>
      <c r="Q27" s="72"/>
      <c r="R27" s="65"/>
      <c r="S27" s="72"/>
      <c r="T27" s="61"/>
      <c r="U27" s="72"/>
      <c r="V27" s="65"/>
      <c r="W27" s="72"/>
      <c r="X27" s="52"/>
      <c r="Y27" s="61"/>
      <c r="Z27" s="72"/>
      <c r="AA27" s="65"/>
      <c r="AB27" s="72"/>
      <c r="AC27" s="61"/>
      <c r="AD27" s="72"/>
      <c r="AE27" s="65"/>
      <c r="AF27" s="72"/>
      <c r="AG27" s="61"/>
      <c r="AH27" s="72"/>
      <c r="AI27" s="65"/>
      <c r="AJ27" s="72"/>
      <c r="AK27" s="61"/>
      <c r="AL27" s="72"/>
      <c r="AM27" s="65"/>
      <c r="AN27" s="72"/>
      <c r="AO27" s="61"/>
      <c r="AP27" s="72"/>
      <c r="AQ27" s="65"/>
      <c r="AR27" s="65"/>
      <c r="AS27" s="61"/>
      <c r="AT27" s="72"/>
      <c r="AU27" s="65"/>
    </row>
    <row r="28" spans="1:47" ht="12" customHeight="1">
      <c r="A28" s="52" t="s">
        <v>53</v>
      </c>
      <c r="B28" s="58">
        <f>B30+B29</f>
        <v>88217.47</v>
      </c>
      <c r="C28" s="73"/>
      <c r="D28" s="58"/>
      <c r="E28" s="73"/>
      <c r="F28" s="59"/>
      <c r="G28" s="59"/>
      <c r="H28" s="58"/>
      <c r="I28" s="73"/>
      <c r="J28" s="59"/>
      <c r="K28" s="59"/>
      <c r="L28" s="58"/>
      <c r="M28" s="73"/>
      <c r="N28" s="59"/>
      <c r="O28" s="73"/>
      <c r="P28" s="58"/>
      <c r="Q28" s="73"/>
      <c r="R28" s="59"/>
      <c r="S28" s="73"/>
      <c r="T28" s="58"/>
      <c r="U28" s="73"/>
      <c r="V28" s="59"/>
      <c r="W28" s="73"/>
      <c r="X28" s="52" t="s">
        <v>53</v>
      </c>
      <c r="Y28" s="58"/>
      <c r="Z28" s="73"/>
      <c r="AA28" s="59"/>
      <c r="AB28" s="73"/>
      <c r="AC28" s="58"/>
      <c r="AD28" s="73"/>
      <c r="AE28" s="59"/>
      <c r="AF28" s="73"/>
      <c r="AG28" s="58"/>
      <c r="AH28" s="73"/>
      <c r="AI28" s="59"/>
      <c r="AJ28" s="73"/>
      <c r="AK28" s="58"/>
      <c r="AL28" s="73"/>
      <c r="AM28" s="59"/>
      <c r="AN28" s="73"/>
      <c r="AO28" s="58"/>
      <c r="AP28" s="73"/>
      <c r="AQ28" s="59"/>
      <c r="AR28" s="59"/>
      <c r="AS28" s="58"/>
      <c r="AT28" s="73"/>
      <c r="AU28" s="59"/>
    </row>
    <row r="29" spans="1:47" ht="12" customHeight="1">
      <c r="A29" s="53" t="s">
        <v>85</v>
      </c>
      <c r="B29" s="53">
        <v>79201.47</v>
      </c>
      <c r="C29" s="69"/>
      <c r="D29" s="62"/>
      <c r="E29" s="69"/>
      <c r="F29" s="67"/>
      <c r="G29" s="67"/>
      <c r="H29" s="62"/>
      <c r="I29" s="69"/>
      <c r="J29" s="67"/>
      <c r="K29" s="67"/>
      <c r="L29" s="62"/>
      <c r="M29" s="69"/>
      <c r="N29" s="67"/>
      <c r="O29" s="69"/>
      <c r="P29" s="67"/>
      <c r="Q29" s="69"/>
      <c r="R29" s="62"/>
      <c r="S29" s="69"/>
      <c r="T29" s="67"/>
      <c r="U29" s="69"/>
      <c r="V29" s="67"/>
      <c r="W29" s="69"/>
      <c r="X29" s="53" t="s">
        <v>85</v>
      </c>
      <c r="Y29" s="62"/>
      <c r="Z29" s="69"/>
      <c r="AA29" s="67"/>
      <c r="AB29" s="69"/>
      <c r="AC29" s="62"/>
      <c r="AD29" s="69"/>
      <c r="AE29" s="67"/>
      <c r="AF29" s="69"/>
      <c r="AG29" s="62"/>
      <c r="AH29" s="69"/>
      <c r="AI29" s="67"/>
      <c r="AJ29" s="69"/>
      <c r="AK29" s="62"/>
      <c r="AL29" s="69"/>
      <c r="AM29" s="67"/>
      <c r="AN29" s="69"/>
      <c r="AO29" s="62"/>
      <c r="AP29" s="69"/>
      <c r="AQ29" s="67"/>
      <c r="AR29" s="67"/>
      <c r="AS29" s="62"/>
      <c r="AT29" s="69"/>
      <c r="AU29" s="67"/>
    </row>
    <row r="30" spans="1:47" ht="12" customHeight="1">
      <c r="A30" s="53" t="s">
        <v>86</v>
      </c>
      <c r="B30" s="62">
        <f>88217.47-79201.47</f>
        <v>9016</v>
      </c>
      <c r="C30" s="69"/>
      <c r="D30" s="62"/>
      <c r="E30" s="69"/>
      <c r="F30" s="67"/>
      <c r="G30" s="67"/>
      <c r="H30" s="62"/>
      <c r="I30" s="69"/>
      <c r="J30" s="67"/>
      <c r="K30" s="67"/>
      <c r="L30" s="62"/>
      <c r="M30" s="69"/>
      <c r="N30" s="67"/>
      <c r="O30" s="69"/>
      <c r="P30" s="67"/>
      <c r="Q30" s="69"/>
      <c r="R30" s="62"/>
      <c r="S30" s="69"/>
      <c r="T30" s="67"/>
      <c r="U30" s="69"/>
      <c r="V30" s="67"/>
      <c r="W30" s="69"/>
      <c r="X30" s="53" t="s">
        <v>86</v>
      </c>
      <c r="Y30" s="62"/>
      <c r="Z30" s="69"/>
      <c r="AA30" s="67"/>
      <c r="AB30" s="69"/>
      <c r="AC30" s="62"/>
      <c r="AD30" s="69"/>
      <c r="AE30" s="67"/>
      <c r="AF30" s="69"/>
      <c r="AG30" s="62"/>
      <c r="AH30" s="69"/>
      <c r="AI30" s="67"/>
      <c r="AJ30" s="69"/>
      <c r="AK30" s="62"/>
      <c r="AL30" s="69"/>
      <c r="AM30" s="67"/>
      <c r="AN30" s="69"/>
      <c r="AO30" s="62"/>
      <c r="AP30" s="69"/>
      <c r="AQ30" s="67"/>
      <c r="AR30" s="67"/>
      <c r="AS30" s="62"/>
      <c r="AT30" s="69"/>
      <c r="AU30" s="67"/>
    </row>
    <row r="31" spans="1:47" ht="7.5" customHeight="1">
      <c r="A31" s="53"/>
      <c r="B31" s="62"/>
      <c r="C31" s="69"/>
      <c r="D31" s="62"/>
      <c r="E31" s="69"/>
      <c r="F31" s="67"/>
      <c r="G31" s="67"/>
      <c r="H31" s="62"/>
      <c r="I31" s="69"/>
      <c r="J31" s="67"/>
      <c r="K31" s="67"/>
      <c r="L31" s="62"/>
      <c r="M31" s="69"/>
      <c r="N31" s="67"/>
      <c r="O31" s="69"/>
      <c r="P31" s="62"/>
      <c r="Q31" s="69"/>
      <c r="R31" s="67"/>
      <c r="S31" s="69"/>
      <c r="T31" s="62"/>
      <c r="U31" s="69"/>
      <c r="V31" s="67"/>
      <c r="W31" s="69"/>
      <c r="X31" s="53"/>
      <c r="Y31" s="62"/>
      <c r="Z31" s="69"/>
      <c r="AA31" s="67"/>
      <c r="AB31" s="69"/>
      <c r="AC31" s="62"/>
      <c r="AD31" s="69"/>
      <c r="AE31" s="67"/>
      <c r="AF31" s="69"/>
      <c r="AG31" s="62"/>
      <c r="AH31" s="69"/>
      <c r="AI31" s="67"/>
      <c r="AJ31" s="69"/>
      <c r="AK31" s="62"/>
      <c r="AL31" s="69"/>
      <c r="AM31" s="67"/>
      <c r="AN31" s="69"/>
      <c r="AO31" s="62"/>
      <c r="AP31" s="69"/>
      <c r="AQ31" s="67"/>
      <c r="AR31" s="67"/>
      <c r="AS31" s="62"/>
      <c r="AT31" s="69"/>
      <c r="AU31" s="67"/>
    </row>
    <row r="32" spans="1:47" ht="12" customHeight="1">
      <c r="A32" s="52" t="s">
        <v>62</v>
      </c>
      <c r="B32" s="58">
        <f>B33+B34</f>
        <v>164748.13</v>
      </c>
      <c r="C32" s="73"/>
      <c r="D32" s="58"/>
      <c r="E32" s="73"/>
      <c r="F32" s="59"/>
      <c r="G32" s="59"/>
      <c r="H32" s="58"/>
      <c r="I32" s="73"/>
      <c r="J32" s="59"/>
      <c r="K32" s="59"/>
      <c r="L32" s="58"/>
      <c r="M32" s="73"/>
      <c r="N32" s="59"/>
      <c r="O32" s="73"/>
      <c r="P32" s="58"/>
      <c r="Q32" s="73"/>
      <c r="R32" s="59"/>
      <c r="S32" s="73"/>
      <c r="T32" s="58"/>
      <c r="U32" s="73"/>
      <c r="V32" s="59"/>
      <c r="W32" s="73"/>
      <c r="X32" s="52" t="s">
        <v>62</v>
      </c>
      <c r="Y32" s="58"/>
      <c r="Z32" s="73"/>
      <c r="AA32" s="59"/>
      <c r="AB32" s="73"/>
      <c r="AC32" s="58"/>
      <c r="AD32" s="73"/>
      <c r="AE32" s="59"/>
      <c r="AF32" s="73"/>
      <c r="AG32" s="58"/>
      <c r="AH32" s="73"/>
      <c r="AI32" s="59"/>
      <c r="AJ32" s="73"/>
      <c r="AK32" s="58"/>
      <c r="AL32" s="73"/>
      <c r="AM32" s="59"/>
      <c r="AN32" s="73"/>
      <c r="AO32" s="58"/>
      <c r="AP32" s="73"/>
      <c r="AQ32" s="59"/>
      <c r="AR32" s="59"/>
      <c r="AS32" s="58"/>
      <c r="AT32" s="73"/>
      <c r="AU32" s="59"/>
    </row>
    <row r="33" spans="1:47" ht="12" customHeight="1">
      <c r="A33" s="53" t="s">
        <v>85</v>
      </c>
      <c r="B33" s="62">
        <v>164471.15</v>
      </c>
      <c r="C33" s="69"/>
      <c r="D33" s="62"/>
      <c r="E33" s="69"/>
      <c r="F33" s="67"/>
      <c r="G33" s="67"/>
      <c r="H33" s="62"/>
      <c r="I33" s="69"/>
      <c r="J33" s="67"/>
      <c r="K33" s="67"/>
      <c r="L33" s="62"/>
      <c r="M33" s="69"/>
      <c r="N33" s="67"/>
      <c r="O33" s="69"/>
      <c r="P33" s="62"/>
      <c r="Q33" s="69"/>
      <c r="R33" s="67"/>
      <c r="S33" s="69"/>
      <c r="T33" s="62"/>
      <c r="U33" s="69"/>
      <c r="V33" s="67"/>
      <c r="W33" s="69"/>
      <c r="X33" s="53" t="s">
        <v>85</v>
      </c>
      <c r="Y33" s="62"/>
      <c r="Z33" s="69"/>
      <c r="AA33" s="67"/>
      <c r="AB33" s="69"/>
      <c r="AC33" s="62"/>
      <c r="AD33" s="69"/>
      <c r="AE33" s="67"/>
      <c r="AF33" s="69"/>
      <c r="AG33" s="62"/>
      <c r="AH33" s="69"/>
      <c r="AI33" s="67"/>
      <c r="AJ33" s="69"/>
      <c r="AK33" s="62"/>
      <c r="AL33" s="69"/>
      <c r="AM33" s="67"/>
      <c r="AN33" s="69"/>
      <c r="AO33" s="62"/>
      <c r="AP33" s="69"/>
      <c r="AQ33" s="67"/>
      <c r="AR33" s="67"/>
      <c r="AS33" s="62"/>
      <c r="AT33" s="69"/>
      <c r="AU33" s="67"/>
    </row>
    <row r="34" spans="1:47" ht="12" customHeight="1">
      <c r="A34" s="53" t="s">
        <v>86</v>
      </c>
      <c r="B34" s="62">
        <f>164748.13-164471.15</f>
        <v>276.9800000000105</v>
      </c>
      <c r="C34" s="69"/>
      <c r="D34" s="62"/>
      <c r="E34" s="69"/>
      <c r="F34" s="67"/>
      <c r="G34" s="67"/>
      <c r="H34" s="62"/>
      <c r="I34" s="69"/>
      <c r="J34" s="67"/>
      <c r="K34" s="67"/>
      <c r="L34" s="62"/>
      <c r="M34" s="69"/>
      <c r="N34" s="67"/>
      <c r="O34" s="69"/>
      <c r="P34" s="62"/>
      <c r="Q34" s="69"/>
      <c r="R34" s="67"/>
      <c r="S34" s="69"/>
      <c r="T34" s="62"/>
      <c r="U34" s="69"/>
      <c r="V34" s="67"/>
      <c r="W34" s="69"/>
      <c r="X34" s="53" t="s">
        <v>86</v>
      </c>
      <c r="Y34" s="62"/>
      <c r="Z34" s="69"/>
      <c r="AA34" s="67"/>
      <c r="AB34" s="69"/>
      <c r="AC34" s="62"/>
      <c r="AD34" s="69"/>
      <c r="AE34" s="67"/>
      <c r="AF34" s="69"/>
      <c r="AG34" s="62"/>
      <c r="AH34" s="69"/>
      <c r="AI34" s="67"/>
      <c r="AJ34" s="69"/>
      <c r="AK34" s="62"/>
      <c r="AL34" s="69"/>
      <c r="AM34" s="67"/>
      <c r="AN34" s="69"/>
      <c r="AO34" s="62"/>
      <c r="AP34" s="69"/>
      <c r="AQ34" s="67"/>
      <c r="AR34" s="67"/>
      <c r="AS34" s="62"/>
      <c r="AT34" s="69"/>
      <c r="AU34" s="67"/>
    </row>
    <row r="35" spans="1:47" ht="7.5" customHeight="1">
      <c r="A35" s="53"/>
      <c r="B35" s="62"/>
      <c r="C35" s="69"/>
      <c r="D35" s="62"/>
      <c r="E35" s="69"/>
      <c r="F35" s="67"/>
      <c r="G35" s="67"/>
      <c r="H35" s="62"/>
      <c r="I35" s="69"/>
      <c r="J35" s="67"/>
      <c r="K35" s="67"/>
      <c r="L35" s="62"/>
      <c r="M35" s="69"/>
      <c r="N35" s="67"/>
      <c r="O35" s="69"/>
      <c r="P35" s="62"/>
      <c r="Q35" s="69"/>
      <c r="R35" s="67"/>
      <c r="S35" s="69"/>
      <c r="T35" s="62"/>
      <c r="U35" s="69"/>
      <c r="V35" s="67"/>
      <c r="W35" s="69"/>
      <c r="X35" s="53"/>
      <c r="Y35" s="62"/>
      <c r="Z35" s="69"/>
      <c r="AA35" s="67"/>
      <c r="AB35" s="69"/>
      <c r="AC35" s="62"/>
      <c r="AD35" s="69"/>
      <c r="AE35" s="67"/>
      <c r="AF35" s="69"/>
      <c r="AG35" s="62"/>
      <c r="AH35" s="69"/>
      <c r="AI35" s="67"/>
      <c r="AJ35" s="69"/>
      <c r="AK35" s="62"/>
      <c r="AL35" s="69"/>
      <c r="AM35" s="67"/>
      <c r="AN35" s="69"/>
      <c r="AO35" s="62"/>
      <c r="AP35" s="69"/>
      <c r="AQ35" s="67"/>
      <c r="AR35" s="67"/>
      <c r="AS35" s="62"/>
      <c r="AT35" s="69"/>
      <c r="AU35" s="67"/>
    </row>
    <row r="36" spans="1:47" ht="12" customHeight="1">
      <c r="A36" s="52" t="s">
        <v>54</v>
      </c>
      <c r="B36" s="58">
        <f>B37+B38</f>
        <v>14875.34</v>
      </c>
      <c r="C36" s="73"/>
      <c r="D36" s="58"/>
      <c r="E36" s="73"/>
      <c r="F36" s="59"/>
      <c r="G36" s="59"/>
      <c r="H36" s="58"/>
      <c r="I36" s="73"/>
      <c r="J36" s="59"/>
      <c r="K36" s="59"/>
      <c r="L36" s="58"/>
      <c r="M36" s="73"/>
      <c r="N36" s="59"/>
      <c r="O36" s="73"/>
      <c r="P36" s="58"/>
      <c r="Q36" s="73"/>
      <c r="R36" s="59"/>
      <c r="S36" s="73"/>
      <c r="T36" s="58"/>
      <c r="U36" s="73"/>
      <c r="V36" s="59"/>
      <c r="W36" s="73"/>
      <c r="X36" s="52" t="s">
        <v>54</v>
      </c>
      <c r="Y36" s="58"/>
      <c r="Z36" s="73"/>
      <c r="AA36" s="59"/>
      <c r="AB36" s="73"/>
      <c r="AC36" s="58"/>
      <c r="AD36" s="73"/>
      <c r="AE36" s="59"/>
      <c r="AF36" s="73"/>
      <c r="AG36" s="58"/>
      <c r="AH36" s="73"/>
      <c r="AI36" s="59"/>
      <c r="AJ36" s="73"/>
      <c r="AK36" s="58"/>
      <c r="AL36" s="73"/>
      <c r="AM36" s="59"/>
      <c r="AN36" s="73"/>
      <c r="AO36" s="58"/>
      <c r="AP36" s="73"/>
      <c r="AQ36" s="59"/>
      <c r="AR36" s="59"/>
      <c r="AS36" s="58"/>
      <c r="AT36" s="73"/>
      <c r="AU36" s="59"/>
    </row>
    <row r="37" spans="1:47" ht="12" customHeight="1">
      <c r="A37" s="53" t="s">
        <v>85</v>
      </c>
      <c r="B37" s="62">
        <v>14760.17</v>
      </c>
      <c r="C37" s="69"/>
      <c r="D37" s="62"/>
      <c r="E37" s="69"/>
      <c r="F37" s="67"/>
      <c r="G37" s="67"/>
      <c r="H37" s="62"/>
      <c r="I37" s="69"/>
      <c r="J37" s="67"/>
      <c r="K37" s="67"/>
      <c r="L37" s="62"/>
      <c r="M37" s="69"/>
      <c r="N37" s="67"/>
      <c r="O37" s="69"/>
      <c r="P37" s="62"/>
      <c r="Q37" s="69"/>
      <c r="R37" s="67"/>
      <c r="S37" s="69"/>
      <c r="T37" s="62"/>
      <c r="U37" s="69"/>
      <c r="V37" s="67"/>
      <c r="W37" s="69"/>
      <c r="X37" s="53" t="s">
        <v>85</v>
      </c>
      <c r="Y37" s="62"/>
      <c r="Z37" s="69"/>
      <c r="AA37" s="67"/>
      <c r="AB37" s="69"/>
      <c r="AC37" s="62"/>
      <c r="AD37" s="69"/>
      <c r="AE37" s="67"/>
      <c r="AF37" s="69"/>
      <c r="AG37" s="62"/>
      <c r="AH37" s="69"/>
      <c r="AI37" s="67"/>
      <c r="AJ37" s="69"/>
      <c r="AK37" s="62"/>
      <c r="AL37" s="69"/>
      <c r="AM37" s="67"/>
      <c r="AN37" s="69"/>
      <c r="AO37" s="62"/>
      <c r="AP37" s="69"/>
      <c r="AQ37" s="67"/>
      <c r="AR37" s="67"/>
      <c r="AS37" s="62"/>
      <c r="AT37" s="69"/>
      <c r="AU37" s="67"/>
    </row>
    <row r="38" spans="1:47" ht="12" customHeight="1">
      <c r="A38" s="53" t="s">
        <v>86</v>
      </c>
      <c r="B38" s="62">
        <f>14875.17-14760</f>
        <v>115.17000000000007</v>
      </c>
      <c r="C38" s="69"/>
      <c r="D38" s="62"/>
      <c r="E38" s="69"/>
      <c r="F38" s="67"/>
      <c r="G38" s="67"/>
      <c r="H38" s="62"/>
      <c r="I38" s="69"/>
      <c r="J38" s="67"/>
      <c r="K38" s="67"/>
      <c r="L38" s="62"/>
      <c r="M38" s="69"/>
      <c r="N38" s="67"/>
      <c r="O38" s="69"/>
      <c r="P38" s="62"/>
      <c r="Q38" s="69"/>
      <c r="R38" s="67"/>
      <c r="S38" s="69"/>
      <c r="T38" s="62"/>
      <c r="U38" s="69"/>
      <c r="V38" s="67"/>
      <c r="W38" s="69"/>
      <c r="X38" s="53" t="s">
        <v>86</v>
      </c>
      <c r="Y38" s="62"/>
      <c r="Z38" s="69"/>
      <c r="AA38" s="67"/>
      <c r="AB38" s="69"/>
      <c r="AC38" s="62"/>
      <c r="AD38" s="69"/>
      <c r="AE38" s="67"/>
      <c r="AF38" s="69"/>
      <c r="AG38" s="62"/>
      <c r="AH38" s="69"/>
      <c r="AI38" s="67"/>
      <c r="AJ38" s="69"/>
      <c r="AK38" s="62"/>
      <c r="AL38" s="69"/>
      <c r="AM38" s="67"/>
      <c r="AN38" s="69"/>
      <c r="AO38" s="62"/>
      <c r="AP38" s="69"/>
      <c r="AQ38" s="67"/>
      <c r="AR38" s="67"/>
      <c r="AS38" s="62"/>
      <c r="AT38" s="69"/>
      <c r="AU38" s="67"/>
    </row>
    <row r="39" spans="1:47" ht="6.75" customHeight="1">
      <c r="A39" s="53"/>
      <c r="B39" s="62"/>
      <c r="C39" s="69"/>
      <c r="D39" s="62"/>
      <c r="E39" s="69"/>
      <c r="F39" s="67"/>
      <c r="G39" s="67"/>
      <c r="H39" s="62"/>
      <c r="I39" s="69"/>
      <c r="J39" s="67"/>
      <c r="K39" s="67"/>
      <c r="L39" s="62"/>
      <c r="M39" s="69"/>
      <c r="N39" s="67"/>
      <c r="O39" s="69"/>
      <c r="P39" s="62"/>
      <c r="Q39" s="69"/>
      <c r="R39" s="67"/>
      <c r="S39" s="69"/>
      <c r="T39" s="62"/>
      <c r="U39" s="69"/>
      <c r="V39" s="67"/>
      <c r="W39" s="69"/>
      <c r="X39" s="53"/>
      <c r="Y39" s="62"/>
      <c r="Z39" s="69"/>
      <c r="AA39" s="67"/>
      <c r="AB39" s="69"/>
      <c r="AC39" s="62"/>
      <c r="AD39" s="69"/>
      <c r="AE39" s="67"/>
      <c r="AF39" s="69"/>
      <c r="AG39" s="62"/>
      <c r="AH39" s="69"/>
      <c r="AI39" s="67"/>
      <c r="AJ39" s="69"/>
      <c r="AK39" s="62"/>
      <c r="AL39" s="69"/>
      <c r="AM39" s="67"/>
      <c r="AN39" s="69"/>
      <c r="AO39" s="62"/>
      <c r="AP39" s="69"/>
      <c r="AQ39" s="67"/>
      <c r="AR39" s="67"/>
      <c r="AS39" s="62"/>
      <c r="AT39" s="69"/>
      <c r="AU39" s="67"/>
    </row>
    <row r="40" spans="1:47" ht="12" customHeight="1">
      <c r="A40" s="52" t="s">
        <v>55</v>
      </c>
      <c r="B40" s="58">
        <f>B41+B42</f>
        <v>252970.95</v>
      </c>
      <c r="C40" s="73"/>
      <c r="D40" s="58"/>
      <c r="E40" s="73"/>
      <c r="F40" s="59"/>
      <c r="G40" s="59"/>
      <c r="H40" s="58"/>
      <c r="I40" s="73"/>
      <c r="J40" s="59"/>
      <c r="K40" s="59"/>
      <c r="L40" s="58"/>
      <c r="M40" s="73"/>
      <c r="N40" s="59"/>
      <c r="O40" s="73"/>
      <c r="P40" s="58"/>
      <c r="Q40" s="73"/>
      <c r="R40" s="59"/>
      <c r="S40" s="73"/>
      <c r="T40" s="58"/>
      <c r="U40" s="73"/>
      <c r="V40" s="59"/>
      <c r="W40" s="73"/>
      <c r="X40" s="52" t="s">
        <v>55</v>
      </c>
      <c r="Y40" s="58"/>
      <c r="Z40" s="73"/>
      <c r="AA40" s="59"/>
      <c r="AB40" s="73"/>
      <c r="AC40" s="58"/>
      <c r="AD40" s="73"/>
      <c r="AE40" s="59"/>
      <c r="AF40" s="73"/>
      <c r="AG40" s="58"/>
      <c r="AH40" s="73"/>
      <c r="AI40" s="59"/>
      <c r="AJ40" s="73"/>
      <c r="AK40" s="58"/>
      <c r="AL40" s="73"/>
      <c r="AM40" s="59"/>
      <c r="AN40" s="73"/>
      <c r="AO40" s="58"/>
      <c r="AP40" s="73"/>
      <c r="AQ40" s="59"/>
      <c r="AR40" s="59"/>
      <c r="AS40" s="58"/>
      <c r="AT40" s="73"/>
      <c r="AU40" s="59"/>
    </row>
    <row r="41" spans="1:47" ht="12" customHeight="1">
      <c r="A41" s="53" t="s">
        <v>85</v>
      </c>
      <c r="B41" s="62">
        <v>248844.55</v>
      </c>
      <c r="C41" s="69"/>
      <c r="D41" s="62"/>
      <c r="E41" s="69"/>
      <c r="F41" s="67"/>
      <c r="G41" s="67"/>
      <c r="H41" s="62"/>
      <c r="I41" s="69"/>
      <c r="J41" s="67"/>
      <c r="K41" s="67"/>
      <c r="L41" s="62"/>
      <c r="M41" s="69"/>
      <c r="N41" s="67"/>
      <c r="O41" s="69"/>
      <c r="P41" s="62"/>
      <c r="Q41" s="69"/>
      <c r="R41" s="67"/>
      <c r="S41" s="69"/>
      <c r="T41" s="62"/>
      <c r="U41" s="69"/>
      <c r="V41" s="67"/>
      <c r="W41" s="69"/>
      <c r="X41" s="53" t="s">
        <v>85</v>
      </c>
      <c r="Y41" s="62"/>
      <c r="Z41" s="69"/>
      <c r="AA41" s="67"/>
      <c r="AB41" s="69"/>
      <c r="AC41" s="62"/>
      <c r="AD41" s="69"/>
      <c r="AE41" s="67"/>
      <c r="AF41" s="69"/>
      <c r="AG41" s="62"/>
      <c r="AH41" s="69"/>
      <c r="AI41" s="67"/>
      <c r="AJ41" s="69"/>
      <c r="AK41" s="62"/>
      <c r="AL41" s="69"/>
      <c r="AM41" s="67"/>
      <c r="AN41" s="69"/>
      <c r="AO41" s="62"/>
      <c r="AP41" s="69"/>
      <c r="AQ41" s="67"/>
      <c r="AR41" s="67"/>
      <c r="AS41" s="62"/>
      <c r="AT41" s="69"/>
      <c r="AU41" s="67"/>
    </row>
    <row r="42" spans="1:47" ht="12" customHeight="1">
      <c r="A42" s="53" t="s">
        <v>86</v>
      </c>
      <c r="B42" s="62">
        <f>252970.95-248844.55</f>
        <v>4126.400000000023</v>
      </c>
      <c r="C42" s="69"/>
      <c r="D42" s="62"/>
      <c r="E42" s="69"/>
      <c r="F42" s="67"/>
      <c r="G42" s="67"/>
      <c r="H42" s="62"/>
      <c r="I42" s="69"/>
      <c r="J42" s="67"/>
      <c r="K42" s="67"/>
      <c r="L42" s="62"/>
      <c r="M42" s="69"/>
      <c r="N42" s="67"/>
      <c r="O42" s="69"/>
      <c r="P42" s="62"/>
      <c r="Q42" s="69"/>
      <c r="R42" s="67"/>
      <c r="S42" s="69"/>
      <c r="T42" s="62"/>
      <c r="U42" s="69"/>
      <c r="V42" s="67"/>
      <c r="W42" s="69"/>
      <c r="X42" s="53" t="s">
        <v>86</v>
      </c>
      <c r="Y42" s="62"/>
      <c r="Z42" s="69"/>
      <c r="AA42" s="67"/>
      <c r="AB42" s="69"/>
      <c r="AC42" s="62"/>
      <c r="AD42" s="69"/>
      <c r="AE42" s="67"/>
      <c r="AF42" s="69"/>
      <c r="AG42" s="62"/>
      <c r="AH42" s="69"/>
      <c r="AI42" s="67"/>
      <c r="AJ42" s="69"/>
      <c r="AK42" s="62"/>
      <c r="AL42" s="69"/>
      <c r="AM42" s="67"/>
      <c r="AN42" s="69"/>
      <c r="AO42" s="62"/>
      <c r="AP42" s="69"/>
      <c r="AQ42" s="67"/>
      <c r="AR42" s="67"/>
      <c r="AS42" s="62"/>
      <c r="AT42" s="69"/>
      <c r="AU42" s="67"/>
    </row>
    <row r="43" spans="1:47" ht="6.75" customHeight="1">
      <c r="A43" s="53"/>
      <c r="B43" s="62"/>
      <c r="C43" s="69"/>
      <c r="D43" s="62"/>
      <c r="E43" s="69"/>
      <c r="F43" s="67"/>
      <c r="G43" s="67"/>
      <c r="H43" s="62"/>
      <c r="I43" s="69"/>
      <c r="J43" s="67"/>
      <c r="K43" s="67"/>
      <c r="L43" s="62"/>
      <c r="M43" s="69"/>
      <c r="N43" s="67"/>
      <c r="O43" s="69"/>
      <c r="P43" s="62"/>
      <c r="Q43" s="69"/>
      <c r="R43" s="67"/>
      <c r="S43" s="69"/>
      <c r="T43" s="62"/>
      <c r="U43" s="69"/>
      <c r="V43" s="67"/>
      <c r="W43" s="69"/>
      <c r="X43" s="53"/>
      <c r="Y43" s="62"/>
      <c r="Z43" s="69"/>
      <c r="AA43" s="67"/>
      <c r="AB43" s="69"/>
      <c r="AC43" s="62"/>
      <c r="AD43" s="69"/>
      <c r="AE43" s="67"/>
      <c r="AF43" s="69"/>
      <c r="AG43" s="62"/>
      <c r="AH43" s="69"/>
      <c r="AI43" s="67"/>
      <c r="AJ43" s="69"/>
      <c r="AK43" s="62"/>
      <c r="AL43" s="69"/>
      <c r="AM43" s="67"/>
      <c r="AN43" s="69"/>
      <c r="AO43" s="62"/>
      <c r="AP43" s="69"/>
      <c r="AQ43" s="67"/>
      <c r="AR43" s="67"/>
      <c r="AS43" s="62"/>
      <c r="AT43" s="69"/>
      <c r="AU43" s="67"/>
    </row>
    <row r="44" spans="1:47" ht="12" customHeight="1">
      <c r="A44" s="52" t="s">
        <v>98</v>
      </c>
      <c r="B44" s="62">
        <f>B45+B46</f>
        <v>2777.01</v>
      </c>
      <c r="C44" s="69"/>
      <c r="D44" s="62"/>
      <c r="E44" s="69"/>
      <c r="F44" s="67"/>
      <c r="G44" s="67"/>
      <c r="H44" s="62"/>
      <c r="I44" s="69"/>
      <c r="J44" s="67"/>
      <c r="K44" s="67"/>
      <c r="L44" s="62"/>
      <c r="M44" s="69"/>
      <c r="N44" s="67"/>
      <c r="O44" s="69"/>
      <c r="P44" s="62"/>
      <c r="Q44" s="69"/>
      <c r="R44" s="67"/>
      <c r="S44" s="69"/>
      <c r="T44" s="62"/>
      <c r="U44" s="69"/>
      <c r="V44" s="67"/>
      <c r="W44" s="69"/>
      <c r="X44" s="53"/>
      <c r="Y44" s="62"/>
      <c r="Z44" s="69"/>
      <c r="AA44" s="67"/>
      <c r="AB44" s="69"/>
      <c r="AC44" s="62"/>
      <c r="AD44" s="69"/>
      <c r="AE44" s="67"/>
      <c r="AF44" s="69"/>
      <c r="AG44" s="62"/>
      <c r="AH44" s="69"/>
      <c r="AI44" s="67"/>
      <c r="AJ44" s="69"/>
      <c r="AK44" s="62"/>
      <c r="AL44" s="69"/>
      <c r="AM44" s="67"/>
      <c r="AN44" s="69"/>
      <c r="AO44" s="62"/>
      <c r="AP44" s="69"/>
      <c r="AQ44" s="67"/>
      <c r="AR44" s="67"/>
      <c r="AS44" s="62"/>
      <c r="AT44" s="69"/>
      <c r="AU44" s="67"/>
    </row>
    <row r="45" spans="1:47" ht="12" customHeight="1">
      <c r="A45" s="53" t="s">
        <v>85</v>
      </c>
      <c r="B45" s="62">
        <v>0</v>
      </c>
      <c r="C45" s="69"/>
      <c r="D45" s="62"/>
      <c r="E45" s="69"/>
      <c r="F45" s="67"/>
      <c r="G45" s="67"/>
      <c r="H45" s="62"/>
      <c r="I45" s="69"/>
      <c r="J45" s="67"/>
      <c r="K45" s="67"/>
      <c r="L45" s="62"/>
      <c r="M45" s="69"/>
      <c r="N45" s="67"/>
      <c r="O45" s="69"/>
      <c r="P45" s="62"/>
      <c r="Q45" s="69"/>
      <c r="R45" s="67"/>
      <c r="S45" s="69"/>
      <c r="T45" s="62"/>
      <c r="U45" s="69"/>
      <c r="V45" s="67"/>
      <c r="W45" s="69"/>
      <c r="X45" s="53"/>
      <c r="Y45" s="62"/>
      <c r="Z45" s="69"/>
      <c r="AA45" s="67"/>
      <c r="AB45" s="69"/>
      <c r="AC45" s="62"/>
      <c r="AD45" s="69"/>
      <c r="AE45" s="67"/>
      <c r="AF45" s="69"/>
      <c r="AG45" s="62"/>
      <c r="AH45" s="69"/>
      <c r="AI45" s="67"/>
      <c r="AJ45" s="69"/>
      <c r="AK45" s="62"/>
      <c r="AL45" s="69"/>
      <c r="AM45" s="67"/>
      <c r="AN45" s="69"/>
      <c r="AO45" s="62"/>
      <c r="AP45" s="69"/>
      <c r="AQ45" s="67"/>
      <c r="AR45" s="67"/>
      <c r="AS45" s="62"/>
      <c r="AT45" s="69"/>
      <c r="AU45" s="67"/>
    </row>
    <row r="46" spans="1:47" ht="12" customHeight="1">
      <c r="A46" s="53" t="s">
        <v>86</v>
      </c>
      <c r="B46" s="62">
        <v>2777.01</v>
      </c>
      <c r="C46" s="69"/>
      <c r="D46" s="62"/>
      <c r="E46" s="69"/>
      <c r="F46" s="67"/>
      <c r="G46" s="67"/>
      <c r="H46" s="62"/>
      <c r="I46" s="69"/>
      <c r="J46" s="67"/>
      <c r="K46" s="67"/>
      <c r="L46" s="62"/>
      <c r="M46" s="69"/>
      <c r="N46" s="67"/>
      <c r="O46" s="69"/>
      <c r="P46" s="62"/>
      <c r="Q46" s="69"/>
      <c r="R46" s="67"/>
      <c r="S46" s="69"/>
      <c r="T46" s="62"/>
      <c r="U46" s="69"/>
      <c r="V46" s="67"/>
      <c r="W46" s="69"/>
      <c r="X46" s="53"/>
      <c r="Y46" s="62"/>
      <c r="Z46" s="69"/>
      <c r="AA46" s="67"/>
      <c r="AB46" s="69"/>
      <c r="AC46" s="62"/>
      <c r="AD46" s="69"/>
      <c r="AE46" s="67"/>
      <c r="AF46" s="69"/>
      <c r="AG46" s="62"/>
      <c r="AH46" s="69"/>
      <c r="AI46" s="67"/>
      <c r="AJ46" s="69"/>
      <c r="AK46" s="62"/>
      <c r="AL46" s="69"/>
      <c r="AM46" s="67"/>
      <c r="AN46" s="69"/>
      <c r="AO46" s="62"/>
      <c r="AP46" s="69"/>
      <c r="AQ46" s="67"/>
      <c r="AR46" s="67"/>
      <c r="AS46" s="62"/>
      <c r="AT46" s="69"/>
      <c r="AU46" s="67"/>
    </row>
    <row r="47" spans="1:47" ht="6.75" customHeight="1">
      <c r="A47" s="53"/>
      <c r="B47" s="62"/>
      <c r="C47" s="69"/>
      <c r="D47" s="62"/>
      <c r="E47" s="69"/>
      <c r="F47" s="67"/>
      <c r="G47" s="67"/>
      <c r="H47" s="62"/>
      <c r="I47" s="69"/>
      <c r="J47" s="67"/>
      <c r="K47" s="67"/>
      <c r="L47" s="62"/>
      <c r="M47" s="69"/>
      <c r="N47" s="67"/>
      <c r="O47" s="69"/>
      <c r="P47" s="62"/>
      <c r="Q47" s="69"/>
      <c r="R47" s="67"/>
      <c r="S47" s="69"/>
      <c r="T47" s="62"/>
      <c r="U47" s="69"/>
      <c r="V47" s="67"/>
      <c r="W47" s="69"/>
      <c r="X47" s="53"/>
      <c r="Y47" s="62"/>
      <c r="Z47" s="69"/>
      <c r="AA47" s="67"/>
      <c r="AB47" s="69"/>
      <c r="AC47" s="62"/>
      <c r="AD47" s="69"/>
      <c r="AE47" s="67"/>
      <c r="AF47" s="69"/>
      <c r="AG47" s="62"/>
      <c r="AH47" s="69"/>
      <c r="AI47" s="67"/>
      <c r="AJ47" s="69"/>
      <c r="AK47" s="62"/>
      <c r="AL47" s="69"/>
      <c r="AM47" s="67"/>
      <c r="AN47" s="69"/>
      <c r="AO47" s="62"/>
      <c r="AP47" s="69"/>
      <c r="AQ47" s="67"/>
      <c r="AR47" s="67"/>
      <c r="AS47" s="62"/>
      <c r="AT47" s="69"/>
      <c r="AU47" s="67"/>
    </row>
    <row r="48" spans="1:47" ht="12" customHeight="1">
      <c r="A48" s="52" t="s">
        <v>56</v>
      </c>
      <c r="B48" s="58">
        <f>B49+B50</f>
        <v>80548.83</v>
      </c>
      <c r="C48" s="73"/>
      <c r="D48" s="58"/>
      <c r="E48" s="73"/>
      <c r="F48" s="59"/>
      <c r="G48" s="59"/>
      <c r="H48" s="58"/>
      <c r="I48" s="73"/>
      <c r="J48" s="59"/>
      <c r="K48" s="59"/>
      <c r="L48" s="58"/>
      <c r="M48" s="73"/>
      <c r="N48" s="59"/>
      <c r="O48" s="73"/>
      <c r="P48" s="58"/>
      <c r="Q48" s="73"/>
      <c r="R48" s="59"/>
      <c r="S48" s="69"/>
      <c r="T48" s="58"/>
      <c r="U48" s="69"/>
      <c r="V48" s="59"/>
      <c r="W48" s="69"/>
      <c r="X48" s="53"/>
      <c r="Y48" s="58"/>
      <c r="Z48" s="69"/>
      <c r="AA48" s="59"/>
      <c r="AB48" s="69"/>
      <c r="AC48" s="58"/>
      <c r="AD48" s="69"/>
      <c r="AE48" s="59"/>
      <c r="AF48" s="69"/>
      <c r="AG48" s="58"/>
      <c r="AH48" s="69"/>
      <c r="AI48" s="59"/>
      <c r="AJ48" s="69"/>
      <c r="AK48" s="62"/>
      <c r="AL48" s="69"/>
      <c r="AM48" s="59"/>
      <c r="AN48" s="69"/>
      <c r="AO48" s="62"/>
      <c r="AP48" s="69"/>
      <c r="AQ48" s="59"/>
      <c r="AR48" s="67"/>
      <c r="AS48" s="58"/>
      <c r="AT48" s="69"/>
      <c r="AU48" s="59"/>
    </row>
    <row r="49" spans="1:47" ht="12" customHeight="1">
      <c r="A49" s="53" t="s">
        <v>85</v>
      </c>
      <c r="B49" s="62">
        <v>80118.77</v>
      </c>
      <c r="C49" s="69"/>
      <c r="D49" s="62"/>
      <c r="E49" s="69"/>
      <c r="F49" s="67"/>
      <c r="G49" s="67"/>
      <c r="H49" s="62"/>
      <c r="I49" s="69"/>
      <c r="J49" s="67"/>
      <c r="K49" s="67"/>
      <c r="L49" s="62"/>
      <c r="M49" s="69"/>
      <c r="N49" s="67"/>
      <c r="O49" s="69"/>
      <c r="P49" s="67"/>
      <c r="Q49" s="69"/>
      <c r="R49" s="67"/>
      <c r="S49" s="69"/>
      <c r="T49" s="62"/>
      <c r="U49" s="69"/>
      <c r="V49" s="67"/>
      <c r="W49" s="69"/>
      <c r="X49" s="53"/>
      <c r="Y49" s="62"/>
      <c r="Z49" s="69"/>
      <c r="AA49" s="67"/>
      <c r="AB49" s="69"/>
      <c r="AC49" s="62"/>
      <c r="AD49" s="69"/>
      <c r="AE49" s="67"/>
      <c r="AF49" s="69"/>
      <c r="AG49" s="62"/>
      <c r="AH49" s="69"/>
      <c r="AI49" s="67"/>
      <c r="AJ49" s="69"/>
      <c r="AK49" s="62"/>
      <c r="AL49" s="69"/>
      <c r="AM49" s="67"/>
      <c r="AN49" s="69"/>
      <c r="AO49" s="62"/>
      <c r="AP49" s="69"/>
      <c r="AQ49" s="67"/>
      <c r="AR49" s="67"/>
      <c r="AS49" s="62"/>
      <c r="AT49" s="69"/>
      <c r="AU49" s="67"/>
    </row>
    <row r="50" spans="1:47" ht="12" customHeight="1">
      <c r="A50" s="53" t="s">
        <v>86</v>
      </c>
      <c r="B50" s="62">
        <f>80548.83-80118.77</f>
        <v>430.0599999999977</v>
      </c>
      <c r="C50" s="69"/>
      <c r="D50" s="62"/>
      <c r="E50" s="69"/>
      <c r="F50" s="67"/>
      <c r="G50" s="67"/>
      <c r="H50" s="62"/>
      <c r="I50" s="69"/>
      <c r="J50" s="67"/>
      <c r="K50" s="67"/>
      <c r="L50" s="62"/>
      <c r="M50" s="69"/>
      <c r="N50" s="67"/>
      <c r="O50" s="69"/>
      <c r="P50" s="67"/>
      <c r="Q50" s="69"/>
      <c r="R50" s="67"/>
      <c r="S50" s="69"/>
      <c r="T50" s="62"/>
      <c r="U50" s="69"/>
      <c r="V50" s="67"/>
      <c r="W50" s="69"/>
      <c r="X50" s="53"/>
      <c r="Y50" s="62"/>
      <c r="Z50" s="69"/>
      <c r="AA50" s="67"/>
      <c r="AB50" s="69"/>
      <c r="AC50" s="62"/>
      <c r="AD50" s="69"/>
      <c r="AE50" s="67"/>
      <c r="AF50" s="69"/>
      <c r="AG50" s="62"/>
      <c r="AH50" s="69"/>
      <c r="AI50" s="67"/>
      <c r="AJ50" s="69"/>
      <c r="AK50" s="62"/>
      <c r="AL50" s="69"/>
      <c r="AM50" s="67"/>
      <c r="AN50" s="69"/>
      <c r="AO50" s="62"/>
      <c r="AP50" s="69"/>
      <c r="AQ50" s="67"/>
      <c r="AR50" s="67"/>
      <c r="AS50" s="62"/>
      <c r="AT50" s="69"/>
      <c r="AU50" s="67"/>
    </row>
    <row r="51" spans="1:47" ht="6.75" customHeight="1">
      <c r="A51" s="53"/>
      <c r="B51" s="62"/>
      <c r="C51" s="69"/>
      <c r="D51" s="62"/>
      <c r="E51" s="69"/>
      <c r="F51" s="67"/>
      <c r="G51" s="67"/>
      <c r="H51" s="62"/>
      <c r="I51" s="69"/>
      <c r="J51" s="67"/>
      <c r="K51" s="67"/>
      <c r="L51" s="62"/>
      <c r="M51" s="69"/>
      <c r="N51" s="67"/>
      <c r="O51" s="69"/>
      <c r="P51" s="62"/>
      <c r="Q51" s="69"/>
      <c r="R51" s="67"/>
      <c r="S51" s="69"/>
      <c r="T51" s="62"/>
      <c r="U51" s="69"/>
      <c r="V51" s="67"/>
      <c r="W51" s="69"/>
      <c r="X51" s="53"/>
      <c r="Y51" s="62"/>
      <c r="Z51" s="69"/>
      <c r="AA51" s="67"/>
      <c r="AB51" s="69"/>
      <c r="AC51" s="62"/>
      <c r="AD51" s="69"/>
      <c r="AE51" s="67"/>
      <c r="AF51" s="69"/>
      <c r="AG51" s="62"/>
      <c r="AH51" s="69"/>
      <c r="AI51" s="67"/>
      <c r="AJ51" s="69"/>
      <c r="AK51" s="62"/>
      <c r="AL51" s="69"/>
      <c r="AM51" s="67"/>
      <c r="AN51" s="69"/>
      <c r="AO51" s="62"/>
      <c r="AP51" s="69"/>
      <c r="AQ51" s="67"/>
      <c r="AR51" s="67"/>
      <c r="AS51" s="62"/>
      <c r="AT51" s="69"/>
      <c r="AU51" s="67"/>
    </row>
    <row r="52" spans="1:47" ht="12.75" customHeight="1">
      <c r="A52" s="52" t="s">
        <v>90</v>
      </c>
      <c r="B52" s="58">
        <f>B54+B53</f>
        <v>460871.3</v>
      </c>
      <c r="C52" s="73"/>
      <c r="D52" s="58"/>
      <c r="E52" s="73"/>
      <c r="F52" s="59"/>
      <c r="G52" s="59"/>
      <c r="H52" s="58"/>
      <c r="I52" s="73"/>
      <c r="J52" s="59"/>
      <c r="K52" s="59"/>
      <c r="L52" s="58"/>
      <c r="M52" s="73"/>
      <c r="N52" s="59"/>
      <c r="O52" s="73"/>
      <c r="P52" s="58"/>
      <c r="Q52" s="73"/>
      <c r="R52" s="59"/>
      <c r="S52" s="73"/>
      <c r="T52" s="58"/>
      <c r="U52" s="73"/>
      <c r="V52" s="59"/>
      <c r="W52" s="69"/>
      <c r="X52" s="52" t="s">
        <v>90</v>
      </c>
      <c r="Y52" s="58"/>
      <c r="Z52" s="69"/>
      <c r="AA52" s="59"/>
      <c r="AB52" s="69"/>
      <c r="AC52" s="58"/>
      <c r="AD52" s="69"/>
      <c r="AE52" s="59"/>
      <c r="AF52" s="69"/>
      <c r="AG52" s="58"/>
      <c r="AH52" s="69"/>
      <c r="AI52" s="59"/>
      <c r="AJ52" s="69"/>
      <c r="AK52" s="62"/>
      <c r="AL52" s="69"/>
      <c r="AM52" s="59"/>
      <c r="AN52" s="69"/>
      <c r="AO52" s="62"/>
      <c r="AP52" s="69"/>
      <c r="AQ52" s="59"/>
      <c r="AR52" s="67"/>
      <c r="AS52" s="58"/>
      <c r="AT52" s="69"/>
      <c r="AU52" s="59"/>
    </row>
    <row r="53" spans="1:47" ht="10.5" customHeight="1">
      <c r="A53" s="53" t="s">
        <v>85</v>
      </c>
      <c r="B53" s="62">
        <v>459542.8</v>
      </c>
      <c r="C53" s="69"/>
      <c r="D53" s="62"/>
      <c r="E53" s="69"/>
      <c r="F53" s="67"/>
      <c r="G53" s="67"/>
      <c r="H53" s="62"/>
      <c r="I53" s="69"/>
      <c r="J53" s="67"/>
      <c r="K53" s="67"/>
      <c r="L53" s="62"/>
      <c r="M53" s="69"/>
      <c r="N53" s="67"/>
      <c r="O53" s="69"/>
      <c r="P53" s="67"/>
      <c r="Q53" s="69"/>
      <c r="R53" s="67"/>
      <c r="S53" s="69"/>
      <c r="T53" s="67"/>
      <c r="U53" s="69"/>
      <c r="V53" s="67"/>
      <c r="W53" s="69"/>
      <c r="X53" s="53" t="s">
        <v>85</v>
      </c>
      <c r="Y53" s="62"/>
      <c r="Z53" s="69"/>
      <c r="AA53" s="67"/>
      <c r="AB53" s="69"/>
      <c r="AC53" s="62"/>
      <c r="AD53" s="69"/>
      <c r="AE53" s="67"/>
      <c r="AF53" s="69"/>
      <c r="AG53" s="62"/>
      <c r="AH53" s="69"/>
      <c r="AI53" s="67"/>
      <c r="AJ53" s="69"/>
      <c r="AK53" s="62"/>
      <c r="AL53" s="69"/>
      <c r="AM53" s="67"/>
      <c r="AN53" s="69"/>
      <c r="AO53" s="62"/>
      <c r="AP53" s="69"/>
      <c r="AQ53" s="67"/>
      <c r="AR53" s="67"/>
      <c r="AS53" s="62"/>
      <c r="AT53" s="69"/>
      <c r="AU53" s="67"/>
    </row>
    <row r="54" spans="1:47" ht="12" customHeight="1">
      <c r="A54" s="53" t="s">
        <v>86</v>
      </c>
      <c r="B54" s="62">
        <f>460871.3-459542.8</f>
        <v>1328.5</v>
      </c>
      <c r="C54" s="69"/>
      <c r="D54" s="62"/>
      <c r="E54" s="69"/>
      <c r="F54" s="67"/>
      <c r="G54" s="67"/>
      <c r="H54" s="62"/>
      <c r="I54" s="69"/>
      <c r="J54" s="67"/>
      <c r="K54" s="67"/>
      <c r="L54" s="62"/>
      <c r="M54" s="69"/>
      <c r="N54" s="67"/>
      <c r="O54" s="69"/>
      <c r="P54" s="67"/>
      <c r="Q54" s="69"/>
      <c r="R54" s="67"/>
      <c r="S54" s="69"/>
      <c r="T54" s="67"/>
      <c r="U54" s="69"/>
      <c r="V54" s="67"/>
      <c r="W54" s="69"/>
      <c r="X54" s="53" t="s">
        <v>86</v>
      </c>
      <c r="Y54" s="62"/>
      <c r="Z54" s="69"/>
      <c r="AA54" s="67"/>
      <c r="AB54" s="69"/>
      <c r="AC54" s="62"/>
      <c r="AD54" s="69"/>
      <c r="AE54" s="67"/>
      <c r="AF54" s="69"/>
      <c r="AG54" s="62"/>
      <c r="AH54" s="69"/>
      <c r="AI54" s="67"/>
      <c r="AJ54" s="69"/>
      <c r="AK54" s="62"/>
      <c r="AL54" s="69"/>
      <c r="AM54" s="67"/>
      <c r="AN54" s="69"/>
      <c r="AO54" s="62"/>
      <c r="AP54" s="69"/>
      <c r="AQ54" s="67"/>
      <c r="AR54" s="67"/>
      <c r="AS54" s="62"/>
      <c r="AT54" s="69"/>
      <c r="AU54" s="67"/>
    </row>
    <row r="55" spans="1:47" ht="6.75" customHeight="1">
      <c r="A55" s="53"/>
      <c r="B55" s="62"/>
      <c r="C55" s="69"/>
      <c r="D55" s="62"/>
      <c r="E55" s="69"/>
      <c r="F55" s="67"/>
      <c r="G55" s="67"/>
      <c r="H55" s="62"/>
      <c r="I55" s="69"/>
      <c r="J55" s="67"/>
      <c r="K55" s="67"/>
      <c r="L55" s="62"/>
      <c r="M55" s="69"/>
      <c r="N55" s="67"/>
      <c r="O55" s="69"/>
      <c r="P55" s="62"/>
      <c r="Q55" s="69"/>
      <c r="R55" s="67"/>
      <c r="S55" s="69"/>
      <c r="T55" s="62"/>
      <c r="U55" s="69"/>
      <c r="V55" s="67"/>
      <c r="W55" s="69"/>
      <c r="X55" s="53"/>
      <c r="Y55" s="62"/>
      <c r="Z55" s="69"/>
      <c r="AA55" s="67"/>
      <c r="AB55" s="69"/>
      <c r="AC55" s="62"/>
      <c r="AD55" s="69"/>
      <c r="AE55" s="67"/>
      <c r="AF55" s="69"/>
      <c r="AG55" s="62"/>
      <c r="AH55" s="69"/>
      <c r="AI55" s="67"/>
      <c r="AJ55" s="69"/>
      <c r="AK55" s="62"/>
      <c r="AL55" s="69"/>
      <c r="AM55" s="67"/>
      <c r="AN55" s="69"/>
      <c r="AO55" s="62"/>
      <c r="AP55" s="69"/>
      <c r="AQ55" s="67"/>
      <c r="AR55" s="67"/>
      <c r="AS55" s="62"/>
      <c r="AT55" s="69"/>
      <c r="AU55" s="67"/>
    </row>
    <row r="56" spans="1:47" ht="12.75" customHeight="1">
      <c r="A56" s="52" t="s">
        <v>91</v>
      </c>
      <c r="B56" s="58">
        <f>B57+B58</f>
        <v>148753.23</v>
      </c>
      <c r="C56" s="73"/>
      <c r="D56" s="58"/>
      <c r="E56" s="73"/>
      <c r="F56" s="59"/>
      <c r="G56" s="59"/>
      <c r="H56" s="58"/>
      <c r="I56" s="73"/>
      <c r="J56" s="59"/>
      <c r="K56" s="59"/>
      <c r="L56" s="58"/>
      <c r="M56" s="73"/>
      <c r="N56" s="59"/>
      <c r="O56" s="73"/>
      <c r="P56" s="58"/>
      <c r="Q56" s="73"/>
      <c r="R56" s="59"/>
      <c r="S56" s="73"/>
      <c r="T56" s="58"/>
      <c r="U56" s="73"/>
      <c r="V56" s="59"/>
      <c r="W56" s="69"/>
      <c r="X56" s="52" t="s">
        <v>91</v>
      </c>
      <c r="Y56" s="58"/>
      <c r="Z56" s="69"/>
      <c r="AA56" s="59"/>
      <c r="AB56" s="69"/>
      <c r="AC56" s="58"/>
      <c r="AD56" s="69"/>
      <c r="AE56" s="59"/>
      <c r="AF56" s="69"/>
      <c r="AG56" s="58"/>
      <c r="AH56" s="69"/>
      <c r="AI56" s="59"/>
      <c r="AJ56" s="69"/>
      <c r="AK56" s="62"/>
      <c r="AL56" s="69"/>
      <c r="AM56" s="59"/>
      <c r="AN56" s="69"/>
      <c r="AO56" s="62"/>
      <c r="AP56" s="69"/>
      <c r="AQ56" s="59"/>
      <c r="AR56" s="67"/>
      <c r="AS56" s="58"/>
      <c r="AT56" s="69"/>
      <c r="AU56" s="59"/>
    </row>
    <row r="57" spans="1:47" ht="12.75" customHeight="1">
      <c r="A57" s="53" t="s">
        <v>85</v>
      </c>
      <c r="B57" s="62">
        <v>151268.6</v>
      </c>
      <c r="C57" s="69"/>
      <c r="D57" s="62"/>
      <c r="E57" s="69"/>
      <c r="F57" s="67"/>
      <c r="G57" s="67"/>
      <c r="H57" s="62"/>
      <c r="I57" s="69"/>
      <c r="J57" s="67"/>
      <c r="K57" s="67"/>
      <c r="L57" s="62"/>
      <c r="M57" s="69"/>
      <c r="N57" s="67"/>
      <c r="O57" s="69"/>
      <c r="P57" s="62"/>
      <c r="Q57" s="69"/>
      <c r="R57" s="67"/>
      <c r="S57" s="69"/>
      <c r="T57" s="62"/>
      <c r="U57" s="69"/>
      <c r="V57" s="67"/>
      <c r="W57" s="69"/>
      <c r="X57" s="53" t="s">
        <v>85</v>
      </c>
      <c r="Y57" s="62"/>
      <c r="Z57" s="69"/>
      <c r="AA57" s="67"/>
      <c r="AB57" s="69"/>
      <c r="AC57" s="62"/>
      <c r="AD57" s="69"/>
      <c r="AE57" s="67"/>
      <c r="AF57" s="69"/>
      <c r="AG57" s="62"/>
      <c r="AH57" s="69"/>
      <c r="AI57" s="67"/>
      <c r="AJ57" s="69"/>
      <c r="AK57" s="62"/>
      <c r="AL57" s="69"/>
      <c r="AM57" s="67"/>
      <c r="AN57" s="69"/>
      <c r="AO57" s="62"/>
      <c r="AP57" s="69"/>
      <c r="AQ57" s="67"/>
      <c r="AR57" s="67"/>
      <c r="AS57" s="62"/>
      <c r="AT57" s="69"/>
      <c r="AU57" s="67"/>
    </row>
    <row r="58" spans="1:47" ht="12.75" customHeight="1">
      <c r="A58" s="53" t="s">
        <v>86</v>
      </c>
      <c r="B58" s="62">
        <f>148753.23-151268.6</f>
        <v>-2515.3699999999953</v>
      </c>
      <c r="C58" s="69"/>
      <c r="D58" s="62"/>
      <c r="E58" s="69"/>
      <c r="F58" s="67"/>
      <c r="G58" s="67"/>
      <c r="H58" s="62"/>
      <c r="I58" s="69"/>
      <c r="J58" s="67"/>
      <c r="K58" s="67"/>
      <c r="L58" s="62"/>
      <c r="M58" s="69"/>
      <c r="N58" s="67"/>
      <c r="O58" s="69"/>
      <c r="P58" s="62"/>
      <c r="Q58" s="69"/>
      <c r="R58" s="67"/>
      <c r="S58" s="69"/>
      <c r="T58" s="62"/>
      <c r="U58" s="69"/>
      <c r="V58" s="67"/>
      <c r="W58" s="69"/>
      <c r="X58" s="53" t="s">
        <v>86</v>
      </c>
      <c r="Y58" s="62"/>
      <c r="Z58" s="69"/>
      <c r="AA58" s="67"/>
      <c r="AB58" s="69"/>
      <c r="AC58" s="62"/>
      <c r="AD58" s="69"/>
      <c r="AE58" s="67"/>
      <c r="AF58" s="69"/>
      <c r="AG58" s="62"/>
      <c r="AH58" s="69"/>
      <c r="AI58" s="67"/>
      <c r="AJ58" s="69"/>
      <c r="AK58" s="62"/>
      <c r="AL58" s="69"/>
      <c r="AM58" s="67"/>
      <c r="AN58" s="69"/>
      <c r="AO58" s="62"/>
      <c r="AP58" s="69"/>
      <c r="AQ58" s="67"/>
      <c r="AR58" s="67"/>
      <c r="AS58" s="62"/>
      <c r="AT58" s="69"/>
      <c r="AU58" s="67"/>
    </row>
    <row r="59" spans="1:47" ht="8.25" customHeight="1">
      <c r="A59" s="53"/>
      <c r="B59" s="62"/>
      <c r="C59" s="69"/>
      <c r="D59" s="62"/>
      <c r="E59" s="69"/>
      <c r="F59" s="67"/>
      <c r="G59" s="67"/>
      <c r="H59" s="62"/>
      <c r="I59" s="69"/>
      <c r="J59" s="67"/>
      <c r="K59" s="67"/>
      <c r="L59" s="62"/>
      <c r="M59" s="69"/>
      <c r="N59" s="67"/>
      <c r="O59" s="69"/>
      <c r="P59" s="62"/>
      <c r="Q59" s="69"/>
      <c r="R59" s="67"/>
      <c r="S59" s="69"/>
      <c r="T59" s="62"/>
      <c r="U59" s="69"/>
      <c r="V59" s="67"/>
      <c r="W59" s="69"/>
      <c r="X59" s="53"/>
      <c r="Y59" s="62"/>
      <c r="Z59" s="69"/>
      <c r="AA59" s="67"/>
      <c r="AB59" s="69"/>
      <c r="AC59" s="62"/>
      <c r="AD59" s="69"/>
      <c r="AE59" s="67"/>
      <c r="AF59" s="69"/>
      <c r="AG59" s="62"/>
      <c r="AH59" s="69"/>
      <c r="AI59" s="67"/>
      <c r="AJ59" s="69"/>
      <c r="AK59" s="62"/>
      <c r="AL59" s="69"/>
      <c r="AM59" s="67"/>
      <c r="AN59" s="69"/>
      <c r="AO59" s="62"/>
      <c r="AP59" s="69"/>
      <c r="AQ59" s="67"/>
      <c r="AR59" s="67"/>
      <c r="AS59" s="62"/>
      <c r="AT59" s="69"/>
      <c r="AU59" s="67"/>
    </row>
    <row r="60" spans="1:47" ht="11.25" customHeight="1">
      <c r="A60" s="52" t="s">
        <v>92</v>
      </c>
      <c r="B60" s="58">
        <f>B61+B62</f>
        <v>57666.71</v>
      </c>
      <c r="C60" s="73"/>
      <c r="D60" s="58"/>
      <c r="E60" s="73"/>
      <c r="F60" s="59"/>
      <c r="G60" s="59"/>
      <c r="H60" s="58"/>
      <c r="I60" s="73"/>
      <c r="J60" s="59"/>
      <c r="K60" s="59"/>
      <c r="L60" s="58"/>
      <c r="M60" s="73"/>
      <c r="N60" s="59"/>
      <c r="O60" s="73"/>
      <c r="P60" s="58"/>
      <c r="Q60" s="73"/>
      <c r="R60" s="59"/>
      <c r="S60" s="73"/>
      <c r="T60" s="58"/>
      <c r="U60" s="73"/>
      <c r="V60" s="59"/>
      <c r="W60" s="73"/>
      <c r="X60" s="52" t="s">
        <v>92</v>
      </c>
      <c r="Y60" s="58"/>
      <c r="Z60" s="73"/>
      <c r="AA60" s="59"/>
      <c r="AB60" s="73"/>
      <c r="AC60" s="58"/>
      <c r="AD60" s="73"/>
      <c r="AE60" s="59"/>
      <c r="AF60" s="73"/>
      <c r="AG60" s="58"/>
      <c r="AH60" s="73"/>
      <c r="AI60" s="59"/>
      <c r="AJ60" s="73"/>
      <c r="AK60" s="58"/>
      <c r="AL60" s="73"/>
      <c r="AM60" s="59"/>
      <c r="AN60" s="73"/>
      <c r="AO60" s="58"/>
      <c r="AP60" s="73"/>
      <c r="AQ60" s="59"/>
      <c r="AR60" s="59"/>
      <c r="AS60" s="58"/>
      <c r="AT60" s="73"/>
      <c r="AU60" s="59"/>
    </row>
    <row r="61" spans="1:47" ht="12" customHeight="1">
      <c r="A61" s="53" t="s">
        <v>85</v>
      </c>
      <c r="B61" s="62">
        <v>57416.03</v>
      </c>
      <c r="C61" s="69"/>
      <c r="D61" s="62"/>
      <c r="E61" s="69"/>
      <c r="F61" s="67"/>
      <c r="G61" s="67"/>
      <c r="H61" s="62"/>
      <c r="I61" s="69"/>
      <c r="J61" s="67"/>
      <c r="K61" s="67"/>
      <c r="L61" s="62"/>
      <c r="M61" s="69"/>
      <c r="N61" s="67"/>
      <c r="O61" s="69"/>
      <c r="P61" s="62"/>
      <c r="Q61" s="69"/>
      <c r="R61" s="67"/>
      <c r="S61" s="69"/>
      <c r="T61" s="62"/>
      <c r="U61" s="69"/>
      <c r="V61" s="67"/>
      <c r="W61" s="69"/>
      <c r="X61" s="53" t="s">
        <v>85</v>
      </c>
      <c r="Y61" s="62"/>
      <c r="Z61" s="69"/>
      <c r="AA61" s="67"/>
      <c r="AB61" s="69"/>
      <c r="AC61" s="62"/>
      <c r="AD61" s="69"/>
      <c r="AE61" s="67"/>
      <c r="AF61" s="69"/>
      <c r="AG61" s="62"/>
      <c r="AH61" s="69"/>
      <c r="AI61" s="67"/>
      <c r="AJ61" s="69"/>
      <c r="AK61" s="62"/>
      <c r="AL61" s="69"/>
      <c r="AM61" s="67"/>
      <c r="AN61" s="69"/>
      <c r="AO61" s="62"/>
      <c r="AP61" s="69"/>
      <c r="AQ61" s="67"/>
      <c r="AR61" s="67"/>
      <c r="AS61" s="62"/>
      <c r="AT61" s="69"/>
      <c r="AU61" s="67"/>
    </row>
    <row r="62" spans="1:47" ht="12" customHeight="1">
      <c r="A62" s="53" t="s">
        <v>86</v>
      </c>
      <c r="B62" s="62">
        <f>57666.71-57416.03</f>
        <v>250.6800000000003</v>
      </c>
      <c r="C62" s="69"/>
      <c r="D62" s="62"/>
      <c r="E62" s="69"/>
      <c r="F62" s="67"/>
      <c r="G62" s="67"/>
      <c r="H62" s="62"/>
      <c r="I62" s="69"/>
      <c r="J62" s="67"/>
      <c r="K62" s="67"/>
      <c r="L62" s="62"/>
      <c r="M62" s="69"/>
      <c r="N62" s="67"/>
      <c r="O62" s="69"/>
      <c r="P62" s="62"/>
      <c r="Q62" s="69"/>
      <c r="R62" s="67"/>
      <c r="S62" s="69"/>
      <c r="T62" s="62"/>
      <c r="U62" s="69"/>
      <c r="V62" s="67"/>
      <c r="W62" s="69"/>
      <c r="X62" s="53" t="s">
        <v>86</v>
      </c>
      <c r="Y62" s="62"/>
      <c r="Z62" s="69"/>
      <c r="AA62" s="67"/>
      <c r="AB62" s="69"/>
      <c r="AC62" s="62"/>
      <c r="AD62" s="69"/>
      <c r="AE62" s="67"/>
      <c r="AF62" s="69"/>
      <c r="AG62" s="62"/>
      <c r="AH62" s="69"/>
      <c r="AI62" s="67"/>
      <c r="AJ62" s="69"/>
      <c r="AK62" s="62"/>
      <c r="AL62" s="69"/>
      <c r="AM62" s="67"/>
      <c r="AN62" s="69"/>
      <c r="AO62" s="62"/>
      <c r="AP62" s="69"/>
      <c r="AQ62" s="67"/>
      <c r="AR62" s="67"/>
      <c r="AS62" s="62"/>
      <c r="AT62" s="69"/>
      <c r="AU62" s="67"/>
    </row>
    <row r="63" spans="1:47" ht="6.75" customHeight="1">
      <c r="A63" s="53"/>
      <c r="B63" s="62"/>
      <c r="C63" s="69"/>
      <c r="D63" s="62"/>
      <c r="E63" s="69"/>
      <c r="F63" s="67"/>
      <c r="G63" s="67"/>
      <c r="H63" s="62"/>
      <c r="I63" s="69"/>
      <c r="J63" s="67"/>
      <c r="K63" s="67"/>
      <c r="L63" s="62"/>
      <c r="M63" s="69"/>
      <c r="N63" s="67"/>
      <c r="O63" s="69"/>
      <c r="P63" s="62"/>
      <c r="Q63" s="69"/>
      <c r="R63" s="67"/>
      <c r="S63" s="69"/>
      <c r="T63" s="62"/>
      <c r="U63" s="69"/>
      <c r="V63" s="67"/>
      <c r="W63" s="69"/>
      <c r="X63" s="53"/>
      <c r="Y63" s="62"/>
      <c r="Z63" s="69"/>
      <c r="AA63" s="67"/>
      <c r="AB63" s="69"/>
      <c r="AC63" s="62"/>
      <c r="AD63" s="69"/>
      <c r="AE63" s="67"/>
      <c r="AF63" s="69"/>
      <c r="AG63" s="62"/>
      <c r="AH63" s="69"/>
      <c r="AI63" s="67"/>
      <c r="AJ63" s="69"/>
      <c r="AK63" s="62"/>
      <c r="AL63" s="69"/>
      <c r="AM63" s="67"/>
      <c r="AN63" s="69"/>
      <c r="AO63" s="62"/>
      <c r="AP63" s="69"/>
      <c r="AQ63" s="67"/>
      <c r="AR63" s="67"/>
      <c r="AS63" s="62"/>
      <c r="AT63" s="69"/>
      <c r="AU63" s="67"/>
    </row>
    <row r="64" spans="1:47" ht="12" customHeight="1">
      <c r="A64" s="52" t="s">
        <v>63</v>
      </c>
      <c r="B64" s="58">
        <v>0</v>
      </c>
      <c r="C64" s="73"/>
      <c r="D64" s="58"/>
      <c r="E64" s="73"/>
      <c r="F64" s="59"/>
      <c r="G64" s="59"/>
      <c r="H64" s="58"/>
      <c r="I64" s="73"/>
      <c r="J64" s="59"/>
      <c r="K64" s="59"/>
      <c r="L64" s="58"/>
      <c r="M64" s="73"/>
      <c r="N64" s="59"/>
      <c r="O64" s="73"/>
      <c r="P64" s="58"/>
      <c r="Q64" s="73"/>
      <c r="R64" s="59"/>
      <c r="S64" s="73"/>
      <c r="T64" s="62"/>
      <c r="U64" s="73"/>
      <c r="V64" s="59"/>
      <c r="W64" s="73"/>
      <c r="X64" s="52" t="s">
        <v>63</v>
      </c>
      <c r="Y64" s="62"/>
      <c r="Z64" s="73"/>
      <c r="AA64" s="59"/>
      <c r="AB64" s="73"/>
      <c r="AC64" s="58"/>
      <c r="AD64" s="73"/>
      <c r="AE64" s="59"/>
      <c r="AF64" s="73"/>
      <c r="AG64" s="58"/>
      <c r="AH64" s="73"/>
      <c r="AI64" s="59"/>
      <c r="AJ64" s="73"/>
      <c r="AK64" s="58"/>
      <c r="AL64" s="73"/>
      <c r="AM64" s="59"/>
      <c r="AN64" s="73"/>
      <c r="AO64" s="58"/>
      <c r="AP64" s="73"/>
      <c r="AQ64" s="59"/>
      <c r="AR64" s="59"/>
      <c r="AS64" s="58"/>
      <c r="AT64" s="73"/>
      <c r="AU64" s="59"/>
    </row>
    <row r="65" spans="1:47" ht="7.5" customHeight="1">
      <c r="A65" s="53"/>
      <c r="B65" s="62"/>
      <c r="C65" s="69"/>
      <c r="D65" s="62"/>
      <c r="E65" s="69"/>
      <c r="F65" s="67"/>
      <c r="G65" s="67"/>
      <c r="H65" s="62"/>
      <c r="I65" s="69"/>
      <c r="J65" s="67"/>
      <c r="K65" s="67"/>
      <c r="L65" s="62"/>
      <c r="M65" s="69"/>
      <c r="N65" s="67"/>
      <c r="O65" s="69"/>
      <c r="P65" s="62"/>
      <c r="Q65" s="69"/>
      <c r="R65" s="67"/>
      <c r="S65" s="69"/>
      <c r="T65" s="62"/>
      <c r="U65" s="69"/>
      <c r="V65" s="67"/>
      <c r="W65" s="69"/>
      <c r="X65" s="53"/>
      <c r="Y65" s="62"/>
      <c r="Z65" s="69"/>
      <c r="AA65" s="67"/>
      <c r="AB65" s="69"/>
      <c r="AC65" s="62"/>
      <c r="AD65" s="69"/>
      <c r="AE65" s="67"/>
      <c r="AF65" s="69"/>
      <c r="AG65" s="62"/>
      <c r="AH65" s="69"/>
      <c r="AI65" s="67"/>
      <c r="AJ65" s="69"/>
      <c r="AK65" s="62"/>
      <c r="AL65" s="69"/>
      <c r="AM65" s="67"/>
      <c r="AN65" s="69"/>
      <c r="AO65" s="62"/>
      <c r="AP65" s="69"/>
      <c r="AQ65" s="67"/>
      <c r="AR65" s="67"/>
      <c r="AS65" s="62"/>
      <c r="AT65" s="69"/>
      <c r="AU65" s="67"/>
    </row>
    <row r="66" spans="1:47" ht="12" customHeight="1">
      <c r="A66" s="52" t="s">
        <v>57</v>
      </c>
      <c r="B66" s="58">
        <f>B67+B68</f>
        <v>442142.53</v>
      </c>
      <c r="C66" s="73"/>
      <c r="D66" s="58"/>
      <c r="E66" s="73"/>
      <c r="F66" s="59"/>
      <c r="G66" s="59"/>
      <c r="H66" s="58"/>
      <c r="I66" s="73"/>
      <c r="J66" s="59"/>
      <c r="K66" s="59"/>
      <c r="L66" s="58"/>
      <c r="M66" s="73"/>
      <c r="N66" s="59"/>
      <c r="O66" s="73"/>
      <c r="P66" s="58"/>
      <c r="Q66" s="73"/>
      <c r="R66" s="59"/>
      <c r="S66" s="73"/>
      <c r="T66" s="58"/>
      <c r="U66" s="73"/>
      <c r="V66" s="59"/>
      <c r="W66" s="73"/>
      <c r="X66" s="52" t="s">
        <v>57</v>
      </c>
      <c r="Y66" s="58"/>
      <c r="Z66" s="73"/>
      <c r="AA66" s="59"/>
      <c r="AB66" s="73"/>
      <c r="AC66" s="58"/>
      <c r="AD66" s="73"/>
      <c r="AE66" s="59"/>
      <c r="AF66" s="73"/>
      <c r="AG66" s="58"/>
      <c r="AH66" s="73"/>
      <c r="AI66" s="59"/>
      <c r="AJ66" s="73"/>
      <c r="AK66" s="58"/>
      <c r="AL66" s="73"/>
      <c r="AM66" s="59"/>
      <c r="AN66" s="73"/>
      <c r="AO66" s="58"/>
      <c r="AP66" s="73"/>
      <c r="AQ66" s="59"/>
      <c r="AR66" s="59"/>
      <c r="AS66" s="58"/>
      <c r="AT66" s="73"/>
      <c r="AU66" s="59"/>
    </row>
    <row r="67" spans="1:47" ht="12" customHeight="1">
      <c r="A67" s="53" t="s">
        <v>85</v>
      </c>
      <c r="B67" s="62">
        <v>442126.83</v>
      </c>
      <c r="C67" s="69"/>
      <c r="D67" s="62"/>
      <c r="E67" s="69"/>
      <c r="F67" s="67"/>
      <c r="G67" s="67"/>
      <c r="H67" s="62"/>
      <c r="I67" s="69"/>
      <c r="J67" s="67"/>
      <c r="K67" s="67"/>
      <c r="L67" s="62"/>
      <c r="M67" s="69"/>
      <c r="N67" s="67"/>
      <c r="O67" s="69"/>
      <c r="P67" s="62"/>
      <c r="Q67" s="69"/>
      <c r="R67" s="67"/>
      <c r="S67" s="69"/>
      <c r="T67" s="62"/>
      <c r="U67" s="69"/>
      <c r="V67" s="67"/>
      <c r="W67" s="69"/>
      <c r="X67" s="53" t="s">
        <v>85</v>
      </c>
      <c r="Y67" s="62"/>
      <c r="Z67" s="69"/>
      <c r="AA67" s="67"/>
      <c r="AB67" s="69"/>
      <c r="AC67" s="62"/>
      <c r="AD67" s="69"/>
      <c r="AE67" s="67"/>
      <c r="AF67" s="69"/>
      <c r="AG67" s="62"/>
      <c r="AH67" s="69"/>
      <c r="AI67" s="67"/>
      <c r="AJ67" s="69"/>
      <c r="AK67" s="58"/>
      <c r="AL67" s="69"/>
      <c r="AM67" s="67"/>
      <c r="AN67" s="69"/>
      <c r="AO67" s="58"/>
      <c r="AP67" s="69"/>
      <c r="AQ67" s="67"/>
      <c r="AR67" s="67"/>
      <c r="AS67" s="62"/>
      <c r="AT67" s="69"/>
      <c r="AU67" s="67"/>
    </row>
    <row r="68" spans="1:47" ht="12" customHeight="1">
      <c r="A68" s="53" t="s">
        <v>86</v>
      </c>
      <c r="B68" s="62">
        <f>442142.53-442126.83</f>
        <v>15.700000000011642</v>
      </c>
      <c r="C68" s="69"/>
      <c r="D68" s="62"/>
      <c r="E68" s="69"/>
      <c r="F68" s="67"/>
      <c r="G68" s="67"/>
      <c r="H68" s="62"/>
      <c r="I68" s="69"/>
      <c r="J68" s="67"/>
      <c r="K68" s="67"/>
      <c r="L68" s="62"/>
      <c r="M68" s="69"/>
      <c r="N68" s="67"/>
      <c r="O68" s="69"/>
      <c r="P68" s="62"/>
      <c r="Q68" s="69"/>
      <c r="R68" s="67"/>
      <c r="S68" s="69"/>
      <c r="T68" s="62"/>
      <c r="U68" s="69"/>
      <c r="V68" s="67"/>
      <c r="W68" s="69"/>
      <c r="X68" s="53" t="s">
        <v>86</v>
      </c>
      <c r="Y68" s="62"/>
      <c r="Z68" s="69"/>
      <c r="AA68" s="67"/>
      <c r="AB68" s="69"/>
      <c r="AC68" s="62"/>
      <c r="AD68" s="69"/>
      <c r="AE68" s="67"/>
      <c r="AF68" s="69"/>
      <c r="AG68" s="62"/>
      <c r="AH68" s="69"/>
      <c r="AI68" s="67"/>
      <c r="AJ68" s="69"/>
      <c r="AK68" s="58"/>
      <c r="AL68" s="69"/>
      <c r="AM68" s="67"/>
      <c r="AN68" s="69"/>
      <c r="AO68" s="58"/>
      <c r="AP68" s="69"/>
      <c r="AQ68" s="67"/>
      <c r="AR68" s="67"/>
      <c r="AS68" s="62"/>
      <c r="AT68" s="69"/>
      <c r="AU68" s="67"/>
    </row>
    <row r="69" spans="1:47" ht="7.5" customHeight="1">
      <c r="A69" s="53"/>
      <c r="B69" s="62"/>
      <c r="C69" s="69"/>
      <c r="D69" s="62"/>
      <c r="E69" s="69"/>
      <c r="F69" s="67"/>
      <c r="G69" s="67"/>
      <c r="H69" s="62"/>
      <c r="I69" s="69"/>
      <c r="J69" s="67"/>
      <c r="K69" s="67"/>
      <c r="L69" s="62"/>
      <c r="M69" s="69"/>
      <c r="N69" s="67"/>
      <c r="O69" s="69"/>
      <c r="P69" s="62"/>
      <c r="Q69" s="69"/>
      <c r="R69" s="67"/>
      <c r="S69" s="69"/>
      <c r="T69" s="62"/>
      <c r="U69" s="69"/>
      <c r="V69" s="67"/>
      <c r="W69" s="69"/>
      <c r="X69" s="53"/>
      <c r="Y69" s="62"/>
      <c r="Z69" s="69"/>
      <c r="AA69" s="67"/>
      <c r="AB69" s="69"/>
      <c r="AC69" s="62"/>
      <c r="AD69" s="69"/>
      <c r="AE69" s="67"/>
      <c r="AF69" s="69"/>
      <c r="AG69" s="62"/>
      <c r="AH69" s="69"/>
      <c r="AI69" s="67"/>
      <c r="AJ69" s="69"/>
      <c r="AK69" s="62"/>
      <c r="AL69" s="69"/>
      <c r="AM69" s="67"/>
      <c r="AN69" s="69"/>
      <c r="AO69" s="62"/>
      <c r="AP69" s="69"/>
      <c r="AQ69" s="67"/>
      <c r="AR69" s="67"/>
      <c r="AS69" s="62"/>
      <c r="AT69" s="69"/>
      <c r="AU69" s="67"/>
    </row>
    <row r="70" spans="1:47" ht="12" customHeight="1">
      <c r="A70" s="52" t="s">
        <v>58</v>
      </c>
      <c r="B70" s="58">
        <f>B71+B72</f>
        <v>52525.91</v>
      </c>
      <c r="C70" s="73"/>
      <c r="D70" s="58"/>
      <c r="E70" s="73"/>
      <c r="F70" s="59"/>
      <c r="G70" s="59"/>
      <c r="H70" s="58"/>
      <c r="I70" s="73"/>
      <c r="J70" s="59"/>
      <c r="K70" s="59"/>
      <c r="L70" s="58"/>
      <c r="M70" s="73"/>
      <c r="N70" s="59"/>
      <c r="O70" s="73"/>
      <c r="P70" s="58"/>
      <c r="Q70" s="73"/>
      <c r="R70" s="59"/>
      <c r="S70" s="73"/>
      <c r="T70" s="58"/>
      <c r="U70" s="73"/>
      <c r="V70" s="59"/>
      <c r="W70" s="73"/>
      <c r="X70" s="52" t="s">
        <v>58</v>
      </c>
      <c r="Y70" s="58"/>
      <c r="Z70" s="73"/>
      <c r="AA70" s="59"/>
      <c r="AB70" s="73"/>
      <c r="AC70" s="58"/>
      <c r="AD70" s="73"/>
      <c r="AE70" s="59"/>
      <c r="AF70" s="73"/>
      <c r="AG70" s="58"/>
      <c r="AH70" s="73"/>
      <c r="AI70" s="59"/>
      <c r="AJ70" s="73"/>
      <c r="AK70" s="58"/>
      <c r="AL70" s="73"/>
      <c r="AM70" s="59"/>
      <c r="AN70" s="73"/>
      <c r="AO70" s="58"/>
      <c r="AP70" s="73"/>
      <c r="AQ70" s="59"/>
      <c r="AR70" s="59"/>
      <c r="AS70" s="58"/>
      <c r="AT70" s="73"/>
      <c r="AU70" s="59"/>
    </row>
    <row r="71" spans="1:47" ht="12" customHeight="1">
      <c r="A71" s="53" t="s">
        <v>85</v>
      </c>
      <c r="B71" s="62">
        <v>51252.91</v>
      </c>
      <c r="C71" s="69"/>
      <c r="D71" s="62"/>
      <c r="E71" s="69"/>
      <c r="F71" s="67"/>
      <c r="G71" s="67"/>
      <c r="H71" s="62"/>
      <c r="I71" s="69"/>
      <c r="J71" s="67"/>
      <c r="K71" s="67"/>
      <c r="L71" s="62"/>
      <c r="M71" s="69"/>
      <c r="N71" s="67"/>
      <c r="O71" s="69"/>
      <c r="P71" s="62"/>
      <c r="Q71" s="69"/>
      <c r="R71" s="67"/>
      <c r="S71" s="69"/>
      <c r="T71" s="67"/>
      <c r="U71" s="69"/>
      <c r="V71" s="67"/>
      <c r="W71" s="69"/>
      <c r="X71" s="53" t="s">
        <v>85</v>
      </c>
      <c r="Y71" s="62"/>
      <c r="Z71" s="69"/>
      <c r="AA71" s="67"/>
      <c r="AB71" s="69"/>
      <c r="AC71" s="62"/>
      <c r="AD71" s="69"/>
      <c r="AE71" s="67"/>
      <c r="AF71" s="69"/>
      <c r="AG71" s="62"/>
      <c r="AH71" s="69"/>
      <c r="AI71" s="67"/>
      <c r="AJ71" s="69"/>
      <c r="AK71" s="62"/>
      <c r="AL71" s="69"/>
      <c r="AM71" s="67"/>
      <c r="AN71" s="69"/>
      <c r="AO71" s="67"/>
      <c r="AP71" s="69"/>
      <c r="AQ71" s="67"/>
      <c r="AR71" s="67"/>
      <c r="AS71" s="62"/>
      <c r="AT71" s="69"/>
      <c r="AU71" s="67"/>
    </row>
    <row r="72" spans="1:47" ht="12" customHeight="1">
      <c r="A72" s="53" t="s">
        <v>86</v>
      </c>
      <c r="B72" s="62">
        <f>52525.91-51252.91</f>
        <v>1273</v>
      </c>
      <c r="C72" s="69"/>
      <c r="D72" s="62"/>
      <c r="E72" s="69"/>
      <c r="F72" s="67"/>
      <c r="G72" s="67"/>
      <c r="H72" s="62"/>
      <c r="I72" s="69"/>
      <c r="J72" s="67"/>
      <c r="K72" s="67"/>
      <c r="L72" s="62"/>
      <c r="M72" s="69"/>
      <c r="N72" s="67"/>
      <c r="O72" s="69"/>
      <c r="P72" s="62"/>
      <c r="Q72" s="69"/>
      <c r="R72" s="67"/>
      <c r="S72" s="69"/>
      <c r="T72" s="67"/>
      <c r="U72" s="69"/>
      <c r="V72" s="67"/>
      <c r="W72" s="69"/>
      <c r="X72" s="53" t="s">
        <v>86</v>
      </c>
      <c r="Y72" s="62"/>
      <c r="Z72" s="69"/>
      <c r="AA72" s="67"/>
      <c r="AB72" s="69"/>
      <c r="AC72" s="62"/>
      <c r="AD72" s="69"/>
      <c r="AE72" s="67"/>
      <c r="AF72" s="69"/>
      <c r="AG72" s="62"/>
      <c r="AH72" s="69"/>
      <c r="AI72" s="67"/>
      <c r="AJ72" s="69"/>
      <c r="AK72" s="62"/>
      <c r="AL72" s="69"/>
      <c r="AM72" s="67"/>
      <c r="AN72" s="69"/>
      <c r="AO72" s="67"/>
      <c r="AP72" s="69"/>
      <c r="AQ72" s="67"/>
      <c r="AR72" s="67"/>
      <c r="AS72" s="62"/>
      <c r="AT72" s="69"/>
      <c r="AU72" s="67"/>
    </row>
    <row r="73" spans="1:47" ht="7.5" customHeight="1">
      <c r="A73" s="53"/>
      <c r="B73" s="62"/>
      <c r="C73" s="69"/>
      <c r="D73" s="62"/>
      <c r="E73" s="69"/>
      <c r="F73" s="67"/>
      <c r="G73" s="67"/>
      <c r="H73" s="62"/>
      <c r="I73" s="69"/>
      <c r="J73" s="67"/>
      <c r="K73" s="67"/>
      <c r="L73" s="62"/>
      <c r="M73" s="69"/>
      <c r="N73" s="67"/>
      <c r="O73" s="69"/>
      <c r="P73" s="62"/>
      <c r="Q73" s="69"/>
      <c r="R73" s="67"/>
      <c r="S73" s="69"/>
      <c r="T73" s="62"/>
      <c r="U73" s="69"/>
      <c r="V73" s="67"/>
      <c r="W73" s="69"/>
      <c r="X73" s="53"/>
      <c r="Y73" s="62"/>
      <c r="Z73" s="69"/>
      <c r="AA73" s="67"/>
      <c r="AB73" s="69"/>
      <c r="AC73" s="62"/>
      <c r="AD73" s="69"/>
      <c r="AE73" s="67"/>
      <c r="AF73" s="69"/>
      <c r="AG73" s="62"/>
      <c r="AH73" s="69"/>
      <c r="AI73" s="67"/>
      <c r="AJ73" s="69"/>
      <c r="AK73" s="62"/>
      <c r="AL73" s="69"/>
      <c r="AM73" s="67"/>
      <c r="AN73" s="69"/>
      <c r="AO73" s="62"/>
      <c r="AP73" s="69"/>
      <c r="AQ73" s="67"/>
      <c r="AR73" s="67"/>
      <c r="AS73" s="62"/>
      <c r="AT73" s="69"/>
      <c r="AU73" s="67"/>
    </row>
    <row r="74" spans="1:47" ht="12" customHeight="1">
      <c r="A74" s="52" t="s">
        <v>59</v>
      </c>
      <c r="B74" s="58">
        <f>B75+B76</f>
        <v>69788.18</v>
      </c>
      <c r="C74" s="73"/>
      <c r="D74" s="58"/>
      <c r="E74" s="73"/>
      <c r="F74" s="59"/>
      <c r="G74" s="59"/>
      <c r="H74" s="58"/>
      <c r="I74" s="73"/>
      <c r="J74" s="59"/>
      <c r="K74" s="59"/>
      <c r="L74" s="58"/>
      <c r="M74" s="73"/>
      <c r="N74" s="59"/>
      <c r="O74" s="73"/>
      <c r="P74" s="58"/>
      <c r="Q74" s="73"/>
      <c r="R74" s="59"/>
      <c r="S74" s="73"/>
      <c r="T74" s="58"/>
      <c r="U74" s="73"/>
      <c r="V74" s="59"/>
      <c r="W74" s="73"/>
      <c r="X74" s="52" t="s">
        <v>59</v>
      </c>
      <c r="Y74" s="58"/>
      <c r="Z74" s="73"/>
      <c r="AA74" s="59"/>
      <c r="AB74" s="73"/>
      <c r="AC74" s="58"/>
      <c r="AD74" s="73"/>
      <c r="AE74" s="59"/>
      <c r="AF74" s="73"/>
      <c r="AG74" s="58"/>
      <c r="AH74" s="73"/>
      <c r="AI74" s="59"/>
      <c r="AJ74" s="73"/>
      <c r="AK74" s="58"/>
      <c r="AL74" s="73"/>
      <c r="AM74" s="59"/>
      <c r="AN74" s="73"/>
      <c r="AO74" s="58"/>
      <c r="AP74" s="73"/>
      <c r="AQ74" s="59"/>
      <c r="AR74" s="59"/>
      <c r="AS74" s="58"/>
      <c r="AT74" s="73"/>
      <c r="AU74" s="59"/>
    </row>
    <row r="75" spans="1:47" ht="12" customHeight="1">
      <c r="A75" s="53" t="s">
        <v>85</v>
      </c>
      <c r="B75" s="62">
        <v>69788.18</v>
      </c>
      <c r="C75" s="69"/>
      <c r="D75" s="62"/>
      <c r="E75" s="69"/>
      <c r="F75" s="67"/>
      <c r="G75" s="67"/>
      <c r="H75" s="62"/>
      <c r="I75" s="69"/>
      <c r="J75" s="67"/>
      <c r="K75" s="67"/>
      <c r="L75" s="62"/>
      <c r="M75" s="69"/>
      <c r="N75" s="67"/>
      <c r="O75" s="69"/>
      <c r="P75" s="62"/>
      <c r="Q75" s="69"/>
      <c r="R75" s="67"/>
      <c r="S75" s="69"/>
      <c r="T75" s="62"/>
      <c r="U75" s="69"/>
      <c r="V75" s="67"/>
      <c r="W75" s="69"/>
      <c r="X75" s="53" t="s">
        <v>85</v>
      </c>
      <c r="Y75" s="62"/>
      <c r="Z75" s="69"/>
      <c r="AA75" s="67"/>
      <c r="AB75" s="69"/>
      <c r="AC75" s="62"/>
      <c r="AD75" s="69"/>
      <c r="AE75" s="67"/>
      <c r="AF75" s="69"/>
      <c r="AG75" s="62"/>
      <c r="AH75" s="69"/>
      <c r="AI75" s="67"/>
      <c r="AJ75" s="69"/>
      <c r="AK75" s="62"/>
      <c r="AL75" s="69"/>
      <c r="AM75" s="67"/>
      <c r="AN75" s="69"/>
      <c r="AO75" s="58"/>
      <c r="AP75" s="69"/>
      <c r="AQ75" s="67"/>
      <c r="AR75" s="67"/>
      <c r="AS75" s="62"/>
      <c r="AT75" s="69"/>
      <c r="AU75" s="67"/>
    </row>
    <row r="76" spans="1:47" ht="12" customHeight="1">
      <c r="A76" s="53" t="s">
        <v>86</v>
      </c>
      <c r="B76" s="62">
        <f>69788.18-69788.18</f>
        <v>0</v>
      </c>
      <c r="C76" s="69"/>
      <c r="D76" s="62"/>
      <c r="E76" s="69"/>
      <c r="F76" s="67"/>
      <c r="G76" s="67"/>
      <c r="H76" s="62"/>
      <c r="I76" s="69"/>
      <c r="J76" s="67"/>
      <c r="K76" s="67"/>
      <c r="L76" s="62"/>
      <c r="M76" s="69"/>
      <c r="N76" s="67"/>
      <c r="O76" s="69"/>
      <c r="P76" s="62"/>
      <c r="Q76" s="69"/>
      <c r="R76" s="67"/>
      <c r="S76" s="69"/>
      <c r="T76" s="62"/>
      <c r="U76" s="69"/>
      <c r="V76" s="67"/>
      <c r="W76" s="69"/>
      <c r="X76" s="53" t="s">
        <v>86</v>
      </c>
      <c r="Y76" s="62"/>
      <c r="Z76" s="69"/>
      <c r="AA76" s="67"/>
      <c r="AB76" s="69"/>
      <c r="AC76" s="62"/>
      <c r="AD76" s="69"/>
      <c r="AE76" s="67"/>
      <c r="AF76" s="69"/>
      <c r="AG76" s="62"/>
      <c r="AH76" s="69"/>
      <c r="AI76" s="67"/>
      <c r="AJ76" s="69"/>
      <c r="AK76" s="62"/>
      <c r="AL76" s="69"/>
      <c r="AM76" s="67"/>
      <c r="AN76" s="69"/>
      <c r="AO76" s="58"/>
      <c r="AP76" s="69"/>
      <c r="AQ76" s="67"/>
      <c r="AR76" s="67"/>
      <c r="AS76" s="62"/>
      <c r="AT76" s="69"/>
      <c r="AU76" s="67"/>
    </row>
    <row r="77" spans="1:47" ht="7.5" customHeight="1">
      <c r="A77" s="55"/>
      <c r="B77" s="62"/>
      <c r="C77" s="69"/>
      <c r="D77" s="62"/>
      <c r="E77" s="69"/>
      <c r="F77" s="67"/>
      <c r="G77" s="67"/>
      <c r="H77" s="62"/>
      <c r="I77" s="69"/>
      <c r="J77" s="67"/>
      <c r="K77" s="67"/>
      <c r="L77" s="62"/>
      <c r="M77" s="69"/>
      <c r="N77" s="67"/>
      <c r="O77" s="69"/>
      <c r="P77" s="62"/>
      <c r="Q77" s="69"/>
      <c r="R77" s="67"/>
      <c r="S77" s="69"/>
      <c r="T77" s="62"/>
      <c r="U77" s="69"/>
      <c r="V77" s="67"/>
      <c r="W77" s="69"/>
      <c r="X77" s="55"/>
      <c r="Y77" s="62"/>
      <c r="Z77" s="69"/>
      <c r="AA77" s="67"/>
      <c r="AB77" s="69"/>
      <c r="AC77" s="62"/>
      <c r="AD77" s="69"/>
      <c r="AE77" s="67"/>
      <c r="AF77" s="69"/>
      <c r="AG77" s="62"/>
      <c r="AH77" s="69"/>
      <c r="AI77" s="67"/>
      <c r="AJ77" s="69"/>
      <c r="AK77" s="62"/>
      <c r="AL77" s="69"/>
      <c r="AM77" s="67"/>
      <c r="AN77" s="69"/>
      <c r="AO77" s="62"/>
      <c r="AP77" s="69"/>
      <c r="AQ77" s="67"/>
      <c r="AR77" s="67"/>
      <c r="AS77" s="62"/>
      <c r="AT77" s="69"/>
      <c r="AU77" s="67"/>
    </row>
    <row r="78" spans="1:47" ht="12" customHeight="1">
      <c r="A78" s="52" t="s">
        <v>60</v>
      </c>
      <c r="B78" s="58">
        <f>B79+B80</f>
        <v>349825.55</v>
      </c>
      <c r="C78" s="73"/>
      <c r="D78" s="58"/>
      <c r="E78" s="73"/>
      <c r="F78" s="59"/>
      <c r="G78" s="59"/>
      <c r="H78" s="58"/>
      <c r="I78" s="73"/>
      <c r="J78" s="59"/>
      <c r="K78" s="59"/>
      <c r="L78" s="58"/>
      <c r="M78" s="73"/>
      <c r="N78" s="59"/>
      <c r="O78" s="73"/>
      <c r="P78" s="58"/>
      <c r="Q78" s="73"/>
      <c r="R78" s="59"/>
      <c r="S78" s="73"/>
      <c r="T78" s="58"/>
      <c r="U78" s="73"/>
      <c r="V78" s="59"/>
      <c r="W78" s="73"/>
      <c r="X78" s="52" t="s">
        <v>60</v>
      </c>
      <c r="Y78" s="58"/>
      <c r="Z78" s="73"/>
      <c r="AA78" s="59"/>
      <c r="AB78" s="73"/>
      <c r="AC78" s="58"/>
      <c r="AD78" s="73"/>
      <c r="AE78" s="59"/>
      <c r="AF78" s="73"/>
      <c r="AG78" s="58"/>
      <c r="AH78" s="73"/>
      <c r="AI78" s="59"/>
      <c r="AJ78" s="73"/>
      <c r="AK78" s="58"/>
      <c r="AL78" s="73"/>
      <c r="AM78" s="59"/>
      <c r="AN78" s="73"/>
      <c r="AO78" s="58"/>
      <c r="AP78" s="73"/>
      <c r="AQ78" s="59"/>
      <c r="AR78" s="59"/>
      <c r="AS78" s="58"/>
      <c r="AT78" s="73"/>
      <c r="AU78" s="59"/>
    </row>
    <row r="79" spans="1:47" ht="12" customHeight="1">
      <c r="A79" s="53" t="s">
        <v>85</v>
      </c>
      <c r="B79" s="62"/>
      <c r="C79" s="69"/>
      <c r="D79" s="62"/>
      <c r="E79" s="69"/>
      <c r="F79" s="67"/>
      <c r="G79" s="67"/>
      <c r="H79" s="62"/>
      <c r="I79" s="69"/>
      <c r="J79" s="67"/>
      <c r="K79" s="67"/>
      <c r="L79" s="62"/>
      <c r="M79" s="69"/>
      <c r="N79" s="67"/>
      <c r="O79" s="69"/>
      <c r="P79" s="62"/>
      <c r="Q79" s="69"/>
      <c r="R79" s="67"/>
      <c r="S79" s="69"/>
      <c r="T79" s="62"/>
      <c r="U79" s="69"/>
      <c r="V79" s="67"/>
      <c r="W79" s="69"/>
      <c r="X79" s="53" t="s">
        <v>85</v>
      </c>
      <c r="Y79" s="62"/>
      <c r="Z79" s="69"/>
      <c r="AA79" s="67"/>
      <c r="AB79" s="69"/>
      <c r="AC79" s="62"/>
      <c r="AD79" s="69"/>
      <c r="AE79" s="67"/>
      <c r="AF79" s="69"/>
      <c r="AG79" s="62"/>
      <c r="AH79" s="69"/>
      <c r="AI79" s="67"/>
      <c r="AJ79" s="69"/>
      <c r="AK79" s="62"/>
      <c r="AL79" s="69"/>
      <c r="AM79" s="67"/>
      <c r="AN79" s="69"/>
      <c r="AO79" s="62"/>
      <c r="AP79" s="69"/>
      <c r="AQ79" s="67"/>
      <c r="AR79" s="67"/>
      <c r="AS79" s="62"/>
      <c r="AT79" s="69"/>
      <c r="AU79" s="67"/>
    </row>
    <row r="80" spans="1:47" ht="12" customHeight="1">
      <c r="A80" s="53" t="s">
        <v>86</v>
      </c>
      <c r="B80" s="62">
        <f>349825.55-0</f>
        <v>349825.55</v>
      </c>
      <c r="C80" s="69"/>
      <c r="D80" s="62"/>
      <c r="E80" s="69"/>
      <c r="F80" s="67"/>
      <c r="G80" s="67"/>
      <c r="H80" s="62"/>
      <c r="I80" s="69"/>
      <c r="J80" s="67"/>
      <c r="K80" s="67"/>
      <c r="L80" s="62"/>
      <c r="M80" s="69"/>
      <c r="N80" s="67"/>
      <c r="O80" s="69"/>
      <c r="P80" s="62"/>
      <c r="Q80" s="69"/>
      <c r="R80" s="67"/>
      <c r="S80" s="69"/>
      <c r="T80" s="62"/>
      <c r="U80" s="69"/>
      <c r="V80" s="67"/>
      <c r="W80" s="69"/>
      <c r="X80" s="53" t="s">
        <v>86</v>
      </c>
      <c r="Y80" s="62"/>
      <c r="Z80" s="69"/>
      <c r="AA80" s="67"/>
      <c r="AB80" s="69"/>
      <c r="AC80" s="62"/>
      <c r="AD80" s="69"/>
      <c r="AE80" s="67"/>
      <c r="AF80" s="69"/>
      <c r="AG80" s="62"/>
      <c r="AH80" s="69"/>
      <c r="AI80" s="67"/>
      <c r="AJ80" s="69"/>
      <c r="AK80" s="62"/>
      <c r="AL80" s="69"/>
      <c r="AM80" s="67"/>
      <c r="AN80" s="69"/>
      <c r="AO80" s="62"/>
      <c r="AP80" s="69"/>
      <c r="AQ80" s="67"/>
      <c r="AR80" s="67"/>
      <c r="AS80" s="62"/>
      <c r="AT80" s="69"/>
      <c r="AU80" s="67"/>
    </row>
    <row r="81" spans="1:47" ht="12" customHeight="1">
      <c r="A81" s="53"/>
      <c r="B81" s="62"/>
      <c r="C81" s="69"/>
      <c r="D81" s="62"/>
      <c r="E81" s="69"/>
      <c r="F81" s="67"/>
      <c r="G81" s="67"/>
      <c r="H81" s="62"/>
      <c r="I81" s="69"/>
      <c r="J81" s="67"/>
      <c r="K81" s="67"/>
      <c r="L81" s="62"/>
      <c r="M81" s="69"/>
      <c r="N81" s="67"/>
      <c r="O81" s="69"/>
      <c r="P81" s="62"/>
      <c r="Q81" s="69"/>
      <c r="R81" s="67"/>
      <c r="S81" s="69"/>
      <c r="T81" s="62"/>
      <c r="U81" s="69"/>
      <c r="V81" s="67"/>
      <c r="W81" s="69"/>
      <c r="X81" s="53"/>
      <c r="Y81" s="62"/>
      <c r="Z81" s="69"/>
      <c r="AA81" s="67"/>
      <c r="AB81" s="69"/>
      <c r="AC81" s="62"/>
      <c r="AD81" s="69"/>
      <c r="AE81" s="67"/>
      <c r="AF81" s="69"/>
      <c r="AG81" s="62"/>
      <c r="AH81" s="69"/>
      <c r="AI81" s="67"/>
      <c r="AJ81" s="69"/>
      <c r="AK81" s="62"/>
      <c r="AL81" s="69"/>
      <c r="AM81" s="67"/>
      <c r="AN81" s="69"/>
      <c r="AO81" s="62"/>
      <c r="AP81" s="69"/>
      <c r="AQ81" s="67"/>
      <c r="AR81" s="67"/>
      <c r="AS81" s="62"/>
      <c r="AT81" s="69"/>
      <c r="AU81" s="67"/>
    </row>
    <row r="82" spans="1:47" ht="12" customHeight="1">
      <c r="A82" s="52" t="s">
        <v>51</v>
      </c>
      <c r="B82" s="58">
        <v>0</v>
      </c>
      <c r="C82" s="69"/>
      <c r="D82" s="62">
        <f>F82-B82</f>
        <v>0</v>
      </c>
      <c r="E82" s="69"/>
      <c r="F82" s="73">
        <v>0</v>
      </c>
      <c r="G82" s="67"/>
      <c r="H82" s="62">
        <f>J82-F82</f>
        <v>0</v>
      </c>
      <c r="I82" s="69"/>
      <c r="J82" s="73">
        <v>0</v>
      </c>
      <c r="K82" s="67"/>
      <c r="L82" s="58">
        <v>0</v>
      </c>
      <c r="M82" s="69"/>
      <c r="N82" s="73">
        <v>0</v>
      </c>
      <c r="O82" s="69"/>
      <c r="P82" s="58">
        <v>0</v>
      </c>
      <c r="Q82" s="69"/>
      <c r="R82" s="73">
        <v>0</v>
      </c>
      <c r="S82" s="69"/>
      <c r="T82" s="58">
        <v>0</v>
      </c>
      <c r="U82" s="69"/>
      <c r="V82" s="73">
        <v>0</v>
      </c>
      <c r="W82" s="69"/>
      <c r="X82" s="52" t="s">
        <v>51</v>
      </c>
      <c r="Y82" s="58"/>
      <c r="Z82" s="69"/>
      <c r="AA82" s="73"/>
      <c r="AB82" s="69"/>
      <c r="AC82" s="58"/>
      <c r="AD82" s="69"/>
      <c r="AE82" s="73"/>
      <c r="AF82" s="69"/>
      <c r="AG82" s="58"/>
      <c r="AH82" s="69"/>
      <c r="AI82" s="73"/>
      <c r="AJ82" s="69"/>
      <c r="AK82" s="58"/>
      <c r="AL82" s="69"/>
      <c r="AM82" s="73"/>
      <c r="AN82" s="69"/>
      <c r="AO82" s="58"/>
      <c r="AP82" s="69"/>
      <c r="AQ82" s="73"/>
      <c r="AR82" s="67"/>
      <c r="AS82" s="58"/>
      <c r="AT82" s="69"/>
      <c r="AU82" s="73"/>
    </row>
    <row r="83" spans="1:47" ht="12" customHeight="1">
      <c r="A83" s="52"/>
      <c r="B83" s="62"/>
      <c r="C83" s="69"/>
      <c r="D83" s="62"/>
      <c r="E83" s="69"/>
      <c r="F83" s="67"/>
      <c r="G83" s="67"/>
      <c r="H83" s="62"/>
      <c r="I83" s="69"/>
      <c r="J83" s="67"/>
      <c r="K83" s="67"/>
      <c r="L83" s="62"/>
      <c r="M83" s="69"/>
      <c r="N83" s="67"/>
      <c r="O83" s="69"/>
      <c r="P83" s="62"/>
      <c r="Q83" s="69"/>
      <c r="R83" s="67"/>
      <c r="S83" s="69"/>
      <c r="T83" s="62"/>
      <c r="U83" s="69"/>
      <c r="V83" s="71"/>
      <c r="W83" s="69"/>
      <c r="X83" s="52"/>
      <c r="Y83" s="62"/>
      <c r="Z83" s="69"/>
      <c r="AA83" s="67"/>
      <c r="AB83" s="69"/>
      <c r="AC83" s="62"/>
      <c r="AD83" s="69"/>
      <c r="AE83" s="67"/>
      <c r="AF83" s="69"/>
      <c r="AG83" s="62"/>
      <c r="AH83" s="69"/>
      <c r="AI83" s="67"/>
      <c r="AJ83" s="69"/>
      <c r="AK83" s="62"/>
      <c r="AL83" s="69"/>
      <c r="AM83" s="67"/>
      <c r="AN83" s="69"/>
      <c r="AO83" s="62"/>
      <c r="AP83" s="69"/>
      <c r="AQ83" s="67"/>
      <c r="AR83" s="67"/>
      <c r="AS83" s="62"/>
      <c r="AT83" s="69"/>
      <c r="AU83" s="67"/>
    </row>
    <row r="84" spans="1:47" ht="15" customHeight="1">
      <c r="A84" s="52" t="s">
        <v>52</v>
      </c>
      <c r="B84" s="84">
        <f>B28+B32+B36+B40+B48+B52+B56+B60+B64+B66+B70+B74+B78+B85+B44</f>
        <v>2185711.1399999997</v>
      </c>
      <c r="C84" s="71"/>
      <c r="D84" s="84">
        <f>D28+D32+D36+D40+D60+D64+D66+D70+D74+D78+D82</f>
        <v>0</v>
      </c>
      <c r="E84" s="71"/>
      <c r="F84" s="88">
        <f>F28+F32+F36+F40+F48+F52+F56+F60+F64+F66+F70+F74+F78+F82</f>
        <v>0</v>
      </c>
      <c r="G84" s="64"/>
      <c r="H84" s="84">
        <f>H28+H32+H36+H40+H60+H64+H66+H70+H74+H78+H82</f>
        <v>0</v>
      </c>
      <c r="I84" s="71"/>
      <c r="J84" s="88">
        <f>J28+J32+J36+J40+J48+J52+J56+J60+J64+J66+J70+J74+J78+J82</f>
        <v>0</v>
      </c>
      <c r="K84" s="64"/>
      <c r="L84" s="84">
        <f>L28+L32+L36+L40+L60+L64+L66+L70+L74+L78+L82</f>
        <v>0</v>
      </c>
      <c r="M84" s="71"/>
      <c r="N84" s="88">
        <f>N28+N32+N36+N40+N60+N64+N66+N70+N74+N78+N82+N56+N52+N48</f>
        <v>0</v>
      </c>
      <c r="O84" s="71"/>
      <c r="P84" s="84">
        <f>P28+P32+P36+P40+P60+P64+P66+P70+P74+P78+P82</f>
        <v>0</v>
      </c>
      <c r="Q84" s="71"/>
      <c r="R84" s="88">
        <f>R28+R32+R36+R40+R48+R52+R56+R60+R64+R66+R70+R74+R78</f>
        <v>0</v>
      </c>
      <c r="S84" s="71"/>
      <c r="T84" s="84">
        <f>T28+T32+T36+T40+T60+T64+T66+T70+T74+T78+T82</f>
        <v>0</v>
      </c>
      <c r="U84" s="71"/>
      <c r="V84" s="85">
        <f>V28+V32+V36+V40+V48+V52+V56+V60+V64+V66+V70+V74+V78</f>
        <v>0</v>
      </c>
      <c r="W84" s="71"/>
      <c r="X84" s="52" t="s">
        <v>52</v>
      </c>
      <c r="Y84" s="84">
        <f>Y28+Y32+Y36+Y40+Y60+Y64+Y66+Y70+Y74+Y78+Y82</f>
        <v>0</v>
      </c>
      <c r="Z84" s="71"/>
      <c r="AA84" s="85">
        <f>AA28+AA32+AA36+AA40+AA48+AA52+AA56+AA60+AA64+AA66+AA70+AA74+AA78</f>
        <v>0</v>
      </c>
      <c r="AB84" s="71"/>
      <c r="AC84" s="84">
        <f>AC78+AC74+AC70+AC66+AC64+AC60+AC56+AC52+AC48+AC40+AC36+AC32+AC28</f>
        <v>0</v>
      </c>
      <c r="AD84" s="71"/>
      <c r="AE84" s="88">
        <f>AE28+AE32+AE36+AE40+AE60+AE64+AE66+AE70+AE74+AE78+AE82+AE56+AE52+AE48</f>
        <v>0</v>
      </c>
      <c r="AF84" s="71"/>
      <c r="AG84" s="88">
        <f>AG28+AG32+AG36+AG40+AG60+AG64+AG66+AG70+AG74+AG78+AG82+AG56+AG52+AG48</f>
        <v>0</v>
      </c>
      <c r="AH84" s="71"/>
      <c r="AI84" s="88">
        <f>AI28+AI32+AI36+AI40+AI60+AI64+AI66+AI70+AI74+AI78+AI82+AI56+AI52+AI48</f>
        <v>0</v>
      </c>
      <c r="AJ84" s="71"/>
      <c r="AK84" s="88">
        <f>AK28+AK32+AK36+AK40+AK60+AK64+AK66+AK70+AK74+AK78+AK82+AK56+AK52+AK48</f>
        <v>0</v>
      </c>
      <c r="AL84" s="71"/>
      <c r="AM84" s="88">
        <f>AM28+AM32+AM36+AM40+AM60+AM64+AM66+AM70+AM74+AM78+AM82+AM56+AM52+AM48</f>
        <v>0</v>
      </c>
      <c r="AN84" s="71"/>
      <c r="AO84" s="84">
        <f>AO28+AO32+AO36+AO40+AO60+AO64+AO66+AO70+AO74+AO78+AO82+AO56+AO52+AO48</f>
        <v>0</v>
      </c>
      <c r="AP84" s="71"/>
      <c r="AQ84" s="88">
        <f>AQ28+AQ32+AQ36+AQ40+AQ60+AQ64+AQ66+AQ70+AQ74+AQ78+AQ82+AQ56+AQ52+AQ48</f>
        <v>0</v>
      </c>
      <c r="AR84" s="64"/>
      <c r="AS84" s="84">
        <f>AS28+AS32+AS36+AS40+AS60+AS64+AS56++AS52+AS48+AS66+AS70+AS74+AS78+AS82</f>
        <v>0</v>
      </c>
      <c r="AT84" s="71"/>
      <c r="AU84" s="88">
        <f>AU28+AU32+AU36+AU40+AU60+AU64+AU66+AU70+AU74+AU78+AU82+AU56+AU52+AU48</f>
        <v>0</v>
      </c>
    </row>
    <row r="85" spans="2:256" s="49" customFormat="1" ht="12" customHeight="1">
      <c r="B85" s="58"/>
      <c r="C85" s="73"/>
      <c r="D85" s="58"/>
      <c r="E85" s="73"/>
      <c r="F85" s="59"/>
      <c r="G85" s="59"/>
      <c r="H85" s="58"/>
      <c r="I85" s="73"/>
      <c r="J85" s="59"/>
      <c r="K85" s="59"/>
      <c r="L85" s="89"/>
      <c r="M85" s="73"/>
      <c r="N85" s="59"/>
      <c r="O85" s="73"/>
      <c r="P85" s="89"/>
      <c r="Q85" s="73"/>
      <c r="R85" s="59"/>
      <c r="S85" s="73"/>
      <c r="T85" s="89"/>
      <c r="U85" s="73"/>
      <c r="V85" s="59"/>
      <c r="W85" s="73"/>
      <c r="Y85" s="89"/>
      <c r="Z85" s="73"/>
      <c r="AA85" s="59"/>
      <c r="AB85" s="73"/>
      <c r="AC85" s="89"/>
      <c r="AD85" s="73"/>
      <c r="AE85" s="59"/>
      <c r="AF85" s="73"/>
      <c r="AG85" s="89"/>
      <c r="AH85" s="73"/>
      <c r="AI85" s="59"/>
      <c r="AJ85" s="73"/>
      <c r="AK85" s="89"/>
      <c r="AL85" s="73"/>
      <c r="AM85" s="59"/>
      <c r="AN85" s="73"/>
      <c r="AO85" s="89"/>
      <c r="AP85" s="73"/>
      <c r="AQ85" s="59"/>
      <c r="AR85" s="59"/>
      <c r="AS85" s="89"/>
      <c r="AT85" s="73"/>
      <c r="AU85" s="59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  <c r="IK85" s="48"/>
      <c r="IL85" s="48"/>
      <c r="IM85" s="48"/>
      <c r="IN85" s="48"/>
      <c r="IO85" s="48"/>
      <c r="IP85" s="48"/>
      <c r="IQ85" s="48"/>
      <c r="IR85" s="48"/>
      <c r="IS85" s="48"/>
      <c r="IT85" s="48"/>
      <c r="IU85" s="48"/>
      <c r="IV85" s="48"/>
    </row>
    <row r="86" spans="1:256" s="49" customFormat="1" ht="15" customHeight="1" thickBot="1">
      <c r="A86" s="52" t="s">
        <v>68</v>
      </c>
      <c r="B86" s="86">
        <f>B24-B84</f>
        <v>-1196527.17</v>
      </c>
      <c r="C86" s="73"/>
      <c r="D86" s="86">
        <f>D24-D84</f>
        <v>0</v>
      </c>
      <c r="E86" s="73"/>
      <c r="F86" s="87">
        <f>F24-F84</f>
        <v>0</v>
      </c>
      <c r="G86" s="59"/>
      <c r="H86" s="86">
        <f>H24-H84</f>
        <v>0</v>
      </c>
      <c r="I86" s="73"/>
      <c r="J86" s="87">
        <f>J24-J84</f>
        <v>0</v>
      </c>
      <c r="K86" s="59"/>
      <c r="L86" s="86">
        <f>L24-L84</f>
        <v>0</v>
      </c>
      <c r="M86" s="73"/>
      <c r="N86" s="87">
        <f>N24-N84</f>
        <v>0</v>
      </c>
      <c r="O86" s="73"/>
      <c r="P86" s="86">
        <f>P24-P84</f>
        <v>0</v>
      </c>
      <c r="Q86" s="73"/>
      <c r="R86" s="87">
        <f>R24-R84</f>
        <v>0</v>
      </c>
      <c r="S86" s="73"/>
      <c r="T86" s="86">
        <f>T24-T84</f>
        <v>0</v>
      </c>
      <c r="U86" s="73"/>
      <c r="V86" s="87">
        <f>V24-V84</f>
        <v>0</v>
      </c>
      <c r="W86" s="73"/>
      <c r="X86" s="52" t="s">
        <v>68</v>
      </c>
      <c r="Y86" s="86">
        <f>Y24-Y84</f>
        <v>0</v>
      </c>
      <c r="Z86" s="73"/>
      <c r="AA86" s="87">
        <f>AA24-AA84</f>
        <v>0</v>
      </c>
      <c r="AB86" s="73"/>
      <c r="AC86" s="86">
        <f>AC24-AC84</f>
        <v>0</v>
      </c>
      <c r="AD86" s="73"/>
      <c r="AE86" s="87">
        <f>AE24-AE84</f>
        <v>0</v>
      </c>
      <c r="AF86" s="73"/>
      <c r="AG86" s="86">
        <f>AG24-AG84</f>
        <v>0</v>
      </c>
      <c r="AH86" s="73"/>
      <c r="AI86" s="87">
        <f>AI24-AI84</f>
        <v>0</v>
      </c>
      <c r="AJ86" s="73"/>
      <c r="AK86" s="86">
        <f>AK24-AK84</f>
        <v>0</v>
      </c>
      <c r="AL86" s="73"/>
      <c r="AM86" s="87">
        <f>AM24-AM84</f>
        <v>0</v>
      </c>
      <c r="AN86" s="73"/>
      <c r="AO86" s="86">
        <f>AO24-AO84</f>
        <v>0</v>
      </c>
      <c r="AP86" s="73"/>
      <c r="AQ86" s="87">
        <f>AQ24-AQ84</f>
        <v>0</v>
      </c>
      <c r="AR86" s="59"/>
      <c r="AS86" s="86">
        <f>AS24-AS84</f>
        <v>0</v>
      </c>
      <c r="AT86" s="73"/>
      <c r="AU86" s="87">
        <f>AU24-AU84</f>
        <v>0</v>
      </c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  <c r="IM86" s="48"/>
      <c r="IN86" s="48"/>
      <c r="IO86" s="48"/>
      <c r="IP86" s="48"/>
      <c r="IQ86" s="48"/>
      <c r="IR86" s="48"/>
      <c r="IS86" s="48"/>
      <c r="IT86" s="48"/>
      <c r="IU86" s="48"/>
      <c r="IV86" s="48"/>
    </row>
    <row r="87" ht="12" customHeight="1" thickTop="1"/>
    <row r="89" spans="1:2" ht="15">
      <c r="A89" s="93"/>
      <c r="B89" s="47" t="s">
        <v>100</v>
      </c>
    </row>
    <row r="90" spans="18:24" ht="15">
      <c r="R90" s="93"/>
      <c r="X90" s="93"/>
    </row>
    <row r="91" ht="15">
      <c r="X91" s="93"/>
    </row>
  </sheetData>
  <sheetProtection/>
  <mergeCells count="11">
    <mergeCell ref="D1:F1"/>
    <mergeCell ref="H1:J1"/>
    <mergeCell ref="L1:N1"/>
    <mergeCell ref="P1:R1"/>
    <mergeCell ref="T1:V1"/>
    <mergeCell ref="AC1:AE1"/>
    <mergeCell ref="AG1:AI1"/>
    <mergeCell ref="AK1:AM1"/>
    <mergeCell ref="AO1:AQ1"/>
    <mergeCell ref="AS1:AU1"/>
    <mergeCell ref="Y1:AA1"/>
  </mergeCells>
  <printOptions horizontalCentered="1" verticalCentered="1"/>
  <pageMargins left="0.45" right="0.7" top="0.5" bottom="0.5" header="0.3" footer="0.3"/>
  <pageSetup fitToWidth="2" horizontalDpi="600" verticalDpi="600" orientation="landscape" paperSize="126" scale="60" r:id="rId3"/>
  <headerFooter>
    <oddHeader>&amp;CProfit and Losses FY 2011</oddHeader>
  </headerFooter>
  <colBreaks count="1" manualBreakCount="1">
    <brk id="23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145" zoomScaleNormal="145" zoomScalePageLayoutView="0" workbookViewId="0" topLeftCell="A1">
      <selection activeCell="G5" sqref="G5"/>
    </sheetView>
  </sheetViews>
  <sheetFormatPr defaultColWidth="12.421875" defaultRowHeight="15"/>
  <cols>
    <col min="1" max="1" width="26.7109375" style="5" customWidth="1"/>
    <col min="2" max="3" width="13.7109375" style="5" customWidth="1"/>
    <col min="4" max="6" width="20.7109375" style="5" customWidth="1"/>
    <col min="7" max="7" width="14.28125" style="5" customWidth="1"/>
    <col min="8" max="8" width="14.421875" style="5" customWidth="1"/>
    <col min="9" max="10" width="15.28125" style="5" customWidth="1"/>
    <col min="11" max="11" width="13.57421875" style="5" customWidth="1"/>
    <col min="12" max="12" width="15.28125" style="5" customWidth="1"/>
    <col min="13" max="13" width="15.421875" style="5" customWidth="1"/>
    <col min="14" max="14" width="8.00390625" style="5" customWidth="1"/>
    <col min="15" max="15" width="18.57421875" style="5" customWidth="1"/>
    <col min="16" max="16" width="13.7109375" style="5" customWidth="1"/>
    <col min="17" max="18" width="12.421875" style="5" customWidth="1"/>
    <col min="19" max="19" width="11.57421875" style="5" customWidth="1"/>
    <col min="20" max="16384" width="12.421875" style="5" customWidth="1"/>
  </cols>
  <sheetData>
    <row r="1" spans="1:11" ht="15" customHeight="1">
      <c r="A1" s="108" t="s">
        <v>0</v>
      </c>
      <c r="B1" s="114" t="s">
        <v>34</v>
      </c>
      <c r="C1" s="114" t="s">
        <v>88</v>
      </c>
      <c r="D1" s="19">
        <v>41030</v>
      </c>
      <c r="E1" s="19">
        <v>41395</v>
      </c>
      <c r="F1" s="110" t="s">
        <v>28</v>
      </c>
      <c r="G1" s="112" t="s">
        <v>29</v>
      </c>
      <c r="H1" s="6"/>
      <c r="I1" s="6"/>
      <c r="J1" s="6"/>
      <c r="K1" s="6"/>
    </row>
    <row r="2" spans="1:11" ht="15" customHeight="1">
      <c r="A2" s="108"/>
      <c r="B2" s="115" t="s">
        <v>25</v>
      </c>
      <c r="C2" s="115" t="s">
        <v>25</v>
      </c>
      <c r="D2" s="110" t="s">
        <v>26</v>
      </c>
      <c r="E2" s="110" t="s">
        <v>26</v>
      </c>
      <c r="F2" s="110"/>
      <c r="G2" s="112"/>
      <c r="H2" s="11"/>
      <c r="I2" s="11"/>
      <c r="J2" s="6"/>
      <c r="K2" s="11"/>
    </row>
    <row r="3" spans="1:11" ht="15" customHeight="1">
      <c r="A3" s="108"/>
      <c r="B3" s="106"/>
      <c r="C3" s="106"/>
      <c r="D3" s="110"/>
      <c r="E3" s="110"/>
      <c r="F3" s="110"/>
      <c r="G3" s="112"/>
      <c r="H3" s="11"/>
      <c r="I3" s="11"/>
      <c r="J3" s="11"/>
      <c r="K3" s="11"/>
    </row>
    <row r="4" spans="1:11" ht="15" customHeight="1">
      <c r="A4" s="20" t="s">
        <v>30</v>
      </c>
      <c r="B4" s="34">
        <f>41363334-1568167</f>
        <v>39795167</v>
      </c>
      <c r="C4" s="34">
        <f>46708559-1401257</f>
        <v>45307302</v>
      </c>
      <c r="D4" s="35" t="e">
        <f>#REF!</f>
        <v>#REF!</v>
      </c>
      <c r="E4" s="35">
        <f>'2013 PROFIT &amp; LOSSES'!R5</f>
        <v>19155218.57</v>
      </c>
      <c r="F4" s="35" t="e">
        <f>E4-D4</f>
        <v>#REF!</v>
      </c>
      <c r="G4" s="42">
        <f>E4/C4</f>
        <v>0.4227843575854506</v>
      </c>
      <c r="H4" s="12"/>
      <c r="I4" s="12"/>
      <c r="J4" s="8"/>
      <c r="K4" s="12"/>
    </row>
    <row r="5" spans="1:11" ht="15" customHeight="1">
      <c r="A5" s="20" t="s">
        <v>31</v>
      </c>
      <c r="B5" s="34">
        <v>5200000</v>
      </c>
      <c r="C5" s="34">
        <v>834100</v>
      </c>
      <c r="D5" s="35" t="e">
        <f>#REF!</f>
        <v>#REF!</v>
      </c>
      <c r="E5" s="35">
        <f>'2013 PROFIT &amp; LOSSES'!R8</f>
        <v>627723.41</v>
      </c>
      <c r="F5" s="35" t="e">
        <f aca="true" t="shared" si="0" ref="F5:F19">E5-D5</f>
        <v>#REF!</v>
      </c>
      <c r="G5" s="42">
        <f aca="true" t="shared" si="1" ref="G5:G18">E5/C5</f>
        <v>0.7525757223354514</v>
      </c>
      <c r="H5" s="12"/>
      <c r="I5" s="32"/>
      <c r="J5" s="32"/>
      <c r="K5" s="12"/>
    </row>
    <row r="6" spans="1:11" ht="15" customHeight="1">
      <c r="A6" s="20" t="s">
        <v>1</v>
      </c>
      <c r="B6" s="34">
        <v>900000</v>
      </c>
      <c r="C6" s="34">
        <v>990000</v>
      </c>
      <c r="D6" s="35" t="e">
        <f>#REF!</f>
        <v>#REF!</v>
      </c>
      <c r="E6" s="35">
        <f>'2013 PROFIT &amp; LOSSES'!R11</f>
        <v>151124.26</v>
      </c>
      <c r="F6" s="35" t="e">
        <f t="shared" si="0"/>
        <v>#REF!</v>
      </c>
      <c r="G6" s="42">
        <f t="shared" si="1"/>
        <v>0.1526507676767677</v>
      </c>
      <c r="H6" s="12"/>
      <c r="I6" s="31"/>
      <c r="J6" s="31"/>
      <c r="K6" s="12"/>
    </row>
    <row r="7" spans="1:11" ht="15" customHeight="1">
      <c r="A7" s="20" t="s">
        <v>2</v>
      </c>
      <c r="B7" s="34">
        <v>150000</v>
      </c>
      <c r="C7" s="34">
        <v>200000</v>
      </c>
      <c r="D7" s="35" t="e">
        <f>#REF!</f>
        <v>#REF!</v>
      </c>
      <c r="E7" s="35">
        <f>'2013 PROFIT &amp; LOSSES'!R14</f>
        <v>60313.5</v>
      </c>
      <c r="F7" s="35" t="e">
        <f>E7-D7</f>
        <v>#REF!</v>
      </c>
      <c r="G7" s="42">
        <f t="shared" si="1"/>
        <v>0.3015675</v>
      </c>
      <c r="H7" s="12"/>
      <c r="I7" s="12"/>
      <c r="J7" s="8"/>
      <c r="K7" s="12"/>
    </row>
    <row r="8" spans="1:11" ht="15" customHeight="1">
      <c r="A8" s="20" t="s">
        <v>3</v>
      </c>
      <c r="B8" s="34">
        <v>1751670</v>
      </c>
      <c r="C8" s="34">
        <f>1165700+234300</f>
        <v>1400000</v>
      </c>
      <c r="D8" s="35" t="e">
        <f>#REF!</f>
        <v>#REF!</v>
      </c>
      <c r="E8" s="35">
        <f>'2013 PROFIT &amp; LOSSES'!R16</f>
        <v>673965.13</v>
      </c>
      <c r="F8" s="35" t="e">
        <f>E8-D8</f>
        <v>#REF!</v>
      </c>
      <c r="G8" s="42">
        <f t="shared" si="1"/>
        <v>0.4814036642857143</v>
      </c>
      <c r="H8" s="12"/>
      <c r="I8" s="12"/>
      <c r="J8" s="8"/>
      <c r="K8" s="12"/>
    </row>
    <row r="9" spans="1:11" ht="15" customHeight="1">
      <c r="A9" s="20" t="s">
        <v>4</v>
      </c>
      <c r="B9" s="34">
        <v>250000</v>
      </c>
      <c r="C9" s="34">
        <v>250000</v>
      </c>
      <c r="D9" s="35" t="e">
        <f>#REF!</f>
        <v>#REF!</v>
      </c>
      <c r="E9" s="35">
        <f>'2013 PROFIT &amp; LOSSES'!R15</f>
        <v>168481.27</v>
      </c>
      <c r="F9" s="35" t="e">
        <f t="shared" si="0"/>
        <v>#REF!</v>
      </c>
      <c r="G9" s="42">
        <f t="shared" si="1"/>
        <v>0.67392508</v>
      </c>
      <c r="H9" s="12"/>
      <c r="I9" s="12"/>
      <c r="J9" s="8"/>
      <c r="K9" s="12"/>
    </row>
    <row r="10" spans="1:12" ht="15" customHeight="1">
      <c r="A10" s="20" t="s">
        <v>5</v>
      </c>
      <c r="B10" s="34">
        <v>25000</v>
      </c>
      <c r="C10" s="34">
        <v>15000</v>
      </c>
      <c r="D10" s="35" t="e">
        <f>#REF!</f>
        <v>#REF!</v>
      </c>
      <c r="E10" s="35">
        <f>'2013 PROFIT &amp; LOSSES'!R17</f>
        <v>5310</v>
      </c>
      <c r="F10" s="35" t="e">
        <f t="shared" si="0"/>
        <v>#REF!</v>
      </c>
      <c r="G10" s="42">
        <f t="shared" si="1"/>
        <v>0.354</v>
      </c>
      <c r="H10" s="12"/>
      <c r="I10" s="12"/>
      <c r="J10" s="8"/>
      <c r="K10" s="12"/>
      <c r="L10" s="4"/>
    </row>
    <row r="11" spans="1:11" ht="15" customHeight="1">
      <c r="A11" s="20" t="s">
        <v>6</v>
      </c>
      <c r="B11" s="34">
        <v>35000</v>
      </c>
      <c r="C11" s="34">
        <v>40000</v>
      </c>
      <c r="D11" s="35" t="e">
        <f>#REF!</f>
        <v>#REF!</v>
      </c>
      <c r="E11" s="35">
        <f>'2013 PROFIT &amp; LOSSES'!R19</f>
        <v>10692</v>
      </c>
      <c r="F11" s="35" t="e">
        <f t="shared" si="0"/>
        <v>#REF!</v>
      </c>
      <c r="G11" s="42">
        <f t="shared" si="1"/>
        <v>0.2673</v>
      </c>
      <c r="H11" s="12"/>
      <c r="I11" s="12"/>
      <c r="J11" s="8"/>
      <c r="K11" s="12"/>
    </row>
    <row r="12" spans="1:11" ht="15" customHeight="1">
      <c r="A12" s="20" t="s">
        <v>7</v>
      </c>
      <c r="B12" s="34">
        <v>50000</v>
      </c>
      <c r="C12" s="34">
        <v>100000</v>
      </c>
      <c r="D12" s="35" t="e">
        <f>#REF!</f>
        <v>#REF!</v>
      </c>
      <c r="E12" s="35">
        <f>'2013 PROFIT &amp; LOSSES'!R20</f>
        <v>102356.87</v>
      </c>
      <c r="F12" s="35" t="e">
        <f t="shared" si="0"/>
        <v>#REF!</v>
      </c>
      <c r="G12" s="42">
        <f t="shared" si="1"/>
        <v>1.0235687</v>
      </c>
      <c r="H12" s="12"/>
      <c r="I12" s="12"/>
      <c r="J12" s="8"/>
      <c r="K12" s="12"/>
    </row>
    <row r="13" spans="1:12" ht="15" customHeight="1">
      <c r="A13" s="20" t="s">
        <v>8</v>
      </c>
      <c r="B13" s="34">
        <v>850000</v>
      </c>
      <c r="C13" s="34">
        <v>890000</v>
      </c>
      <c r="D13" s="35" t="e">
        <f>#REF!</f>
        <v>#REF!</v>
      </c>
      <c r="E13" s="35">
        <f>'2013 PROFIT &amp; LOSSES'!R12</f>
        <v>623311.52</v>
      </c>
      <c r="F13" s="35" t="e">
        <f t="shared" si="0"/>
        <v>#REF!</v>
      </c>
      <c r="G13" s="42">
        <f t="shared" si="1"/>
        <v>0.7003500224719101</v>
      </c>
      <c r="H13" s="12"/>
      <c r="I13" s="12"/>
      <c r="J13" s="8"/>
      <c r="K13" s="12"/>
      <c r="L13" s="4"/>
    </row>
    <row r="14" spans="1:11" ht="15" customHeight="1">
      <c r="A14" s="20" t="s">
        <v>9</v>
      </c>
      <c r="B14" s="34">
        <v>250000</v>
      </c>
      <c r="C14" s="34">
        <v>400000</v>
      </c>
      <c r="D14" s="35" t="e">
        <f>#REF!</f>
        <v>#REF!</v>
      </c>
      <c r="E14" s="35">
        <f>'2013 PROFIT &amp; LOSSES'!R13</f>
        <v>62</v>
      </c>
      <c r="F14" s="35" t="e">
        <f t="shared" si="0"/>
        <v>#REF!</v>
      </c>
      <c r="G14" s="42">
        <f t="shared" si="1"/>
        <v>0.000155</v>
      </c>
      <c r="H14" s="12"/>
      <c r="I14" s="12"/>
      <c r="J14" s="8"/>
      <c r="K14" s="12"/>
    </row>
    <row r="15" spans="1:11" ht="15" customHeight="1">
      <c r="A15" s="20" t="s">
        <v>10</v>
      </c>
      <c r="B15" s="34">
        <v>175000</v>
      </c>
      <c r="C15" s="34">
        <v>320000</v>
      </c>
      <c r="D15" s="35" t="e">
        <f>#REF!</f>
        <v>#REF!</v>
      </c>
      <c r="E15" s="35">
        <f>'2013 PROFIT &amp; LOSSES'!R18</f>
        <v>124156.82</v>
      </c>
      <c r="F15" s="35" t="e">
        <f t="shared" si="0"/>
        <v>#REF!</v>
      </c>
      <c r="G15" s="42">
        <f t="shared" si="1"/>
        <v>0.3879900625</v>
      </c>
      <c r="H15" s="12"/>
      <c r="I15" s="12"/>
      <c r="J15" s="8"/>
      <c r="K15" s="12"/>
    </row>
    <row r="16" spans="1:11" ht="12.75">
      <c r="A16" s="20" t="s">
        <v>11</v>
      </c>
      <c r="B16" s="34">
        <v>50000</v>
      </c>
      <c r="C16" s="34">
        <v>150000</v>
      </c>
      <c r="D16" s="35" t="e">
        <f>#REF!</f>
        <v>#REF!</v>
      </c>
      <c r="E16" s="35">
        <f>'2013 PROFIT &amp; LOSSES'!R21</f>
        <v>14662.15</v>
      </c>
      <c r="F16" s="35" t="e">
        <f t="shared" si="0"/>
        <v>#REF!</v>
      </c>
      <c r="G16" s="42">
        <f t="shared" si="1"/>
        <v>0.09774766666666666</v>
      </c>
      <c r="H16" s="12"/>
      <c r="I16" s="12"/>
      <c r="J16" s="8"/>
      <c r="K16" s="12"/>
    </row>
    <row r="17" spans="1:11" ht="15" customHeight="1" hidden="1">
      <c r="A17" s="20" t="s">
        <v>12</v>
      </c>
      <c r="B17" s="34"/>
      <c r="C17" s="34"/>
      <c r="D17" s="35" t="e">
        <f>#REF!</f>
        <v>#REF!</v>
      </c>
      <c r="E17" s="35">
        <v>0</v>
      </c>
      <c r="F17" s="35" t="e">
        <f t="shared" si="0"/>
        <v>#REF!</v>
      </c>
      <c r="G17" s="42" t="e">
        <f t="shared" si="1"/>
        <v>#DIV/0!</v>
      </c>
      <c r="H17" s="12"/>
      <c r="I17" s="12"/>
      <c r="J17" s="8"/>
      <c r="K17" s="12"/>
    </row>
    <row r="18" spans="1:11" ht="12.75" customHeight="1" hidden="1">
      <c r="A18" s="20"/>
      <c r="B18" s="34"/>
      <c r="C18" s="34"/>
      <c r="D18" s="35" t="e">
        <f>#REF!</f>
        <v>#REF!</v>
      </c>
      <c r="E18" s="35">
        <v>0</v>
      </c>
      <c r="F18" s="35" t="e">
        <f t="shared" si="0"/>
        <v>#REF!</v>
      </c>
      <c r="G18" s="42" t="e">
        <f t="shared" si="1"/>
        <v>#DIV/0!</v>
      </c>
      <c r="H18" s="2"/>
      <c r="I18" s="2"/>
      <c r="J18" s="3"/>
      <c r="K18" s="2"/>
    </row>
    <row r="19" spans="1:11" ht="15" customHeight="1">
      <c r="A19" s="26" t="s">
        <v>13</v>
      </c>
      <c r="B19" s="36">
        <v>8531566</v>
      </c>
      <c r="C19" s="36">
        <v>1945323</v>
      </c>
      <c r="D19" s="35">
        <v>0</v>
      </c>
      <c r="E19" s="37">
        <v>0</v>
      </c>
      <c r="F19" s="37">
        <f t="shared" si="0"/>
        <v>0</v>
      </c>
      <c r="G19" s="43"/>
      <c r="H19" s="12"/>
      <c r="I19" s="12"/>
      <c r="J19" s="8"/>
      <c r="K19" s="12"/>
    </row>
    <row r="20" spans="1:11" ht="15" customHeight="1">
      <c r="A20" s="27"/>
      <c r="B20" s="38"/>
      <c r="C20" s="38"/>
      <c r="D20" s="39"/>
      <c r="E20" s="39"/>
      <c r="F20" s="39"/>
      <c r="G20" s="44"/>
      <c r="H20" s="12"/>
      <c r="I20" s="12"/>
      <c r="J20" s="8"/>
      <c r="K20" s="12"/>
    </row>
    <row r="21" spans="1:14" s="10" customFormat="1" ht="18" customHeight="1">
      <c r="A21" s="18" t="s">
        <v>27</v>
      </c>
      <c r="B21" s="40">
        <f>SUM(B4:B19)</f>
        <v>58013403</v>
      </c>
      <c r="C21" s="40">
        <f>SUM(C4:C19)</f>
        <v>52841725</v>
      </c>
      <c r="D21" s="41" t="e">
        <f>D19+D16+D15+D14+D13+D12+D11+D10+D9+D8+D7+D6+D5+D4</f>
        <v>#REF!</v>
      </c>
      <c r="E21" s="41">
        <f>SUM(E4:E19)</f>
        <v>21717377.5</v>
      </c>
      <c r="F21" s="41" t="e">
        <f>SUM(F4:F19)</f>
        <v>#REF!</v>
      </c>
      <c r="G21" s="45">
        <f>E21/C21</f>
        <v>0.4109891851562378</v>
      </c>
      <c r="H21" s="12"/>
      <c r="I21" s="12">
        <f>E21-20900004.28</f>
        <v>817373.2199999988</v>
      </c>
      <c r="J21" s="8"/>
      <c r="K21" s="12"/>
      <c r="L21" s="8"/>
      <c r="N21" s="17"/>
    </row>
    <row r="22" spans="1:11" ht="12" customHeight="1">
      <c r="A22" s="1"/>
      <c r="B22" s="4"/>
      <c r="C22" s="4"/>
      <c r="D22" s="4"/>
      <c r="E22" s="4"/>
      <c r="F22" s="13"/>
      <c r="G22" s="13"/>
      <c r="H22" s="2"/>
      <c r="I22" s="2"/>
      <c r="J22" s="3"/>
      <c r="K22" s="2"/>
    </row>
    <row r="23" spans="1:10" ht="12" customHeight="1">
      <c r="A23" s="22"/>
      <c r="B23" s="23"/>
      <c r="C23" s="22"/>
      <c r="D23" s="92"/>
      <c r="E23" s="23"/>
      <c r="F23" s="24"/>
      <c r="G23" s="25"/>
      <c r="H23" s="14"/>
      <c r="I23" s="14"/>
      <c r="J23" s="14"/>
    </row>
    <row r="24" spans="1:9" ht="15" customHeight="1">
      <c r="A24" s="106" t="s">
        <v>14</v>
      </c>
      <c r="B24" s="106" t="s">
        <v>34</v>
      </c>
      <c r="C24" s="106" t="s">
        <v>88</v>
      </c>
      <c r="D24" s="19">
        <v>41030</v>
      </c>
      <c r="E24" s="19">
        <v>41395</v>
      </c>
      <c r="F24" s="109" t="s">
        <v>28</v>
      </c>
      <c r="G24" s="111" t="s">
        <v>29</v>
      </c>
      <c r="H24" s="6"/>
      <c r="I24" s="6"/>
    </row>
    <row r="25" spans="1:9" ht="15" customHeight="1">
      <c r="A25" s="107"/>
      <c r="B25" s="108"/>
      <c r="C25" s="108"/>
      <c r="D25" s="113" t="s">
        <v>26</v>
      </c>
      <c r="E25" s="110" t="s">
        <v>26</v>
      </c>
      <c r="F25" s="110"/>
      <c r="G25" s="112"/>
      <c r="H25" s="90"/>
      <c r="I25" s="11"/>
    </row>
    <row r="26" spans="1:10" ht="15" customHeight="1">
      <c r="A26" s="107"/>
      <c r="B26" s="108"/>
      <c r="C26" s="108"/>
      <c r="D26" s="109"/>
      <c r="E26" s="110"/>
      <c r="F26" s="110"/>
      <c r="G26" s="112"/>
      <c r="H26" s="11"/>
      <c r="I26" s="11"/>
      <c r="J26" s="15"/>
    </row>
    <row r="27" spans="1:10" ht="15" customHeight="1">
      <c r="A27" s="20" t="s">
        <v>15</v>
      </c>
      <c r="B27" s="34">
        <v>2100290</v>
      </c>
      <c r="C27" s="34">
        <v>1884258</v>
      </c>
      <c r="D27" s="35" t="e">
        <f>#REF!</f>
        <v>#REF!</v>
      </c>
      <c r="E27" s="35">
        <f>'2013 PROFIT &amp; LOSSES'!R28</f>
        <v>586891.69</v>
      </c>
      <c r="F27" s="35" t="e">
        <f aca="true" t="shared" si="2" ref="F27:F40">E27-D27</f>
        <v>#REF!</v>
      </c>
      <c r="G27" s="21">
        <f>E27/C27</f>
        <v>0.3114709822115655</v>
      </c>
      <c r="H27" s="8"/>
      <c r="I27" s="12"/>
      <c r="J27" s="15"/>
    </row>
    <row r="28" spans="1:10" ht="15" customHeight="1">
      <c r="A28" s="20" t="s">
        <v>16</v>
      </c>
      <c r="B28" s="34">
        <v>1787221</v>
      </c>
      <c r="C28" s="34">
        <v>2054581</v>
      </c>
      <c r="D28" s="35" t="e">
        <f>#REF!</f>
        <v>#REF!</v>
      </c>
      <c r="E28" s="35">
        <f>'2013 PROFIT &amp; LOSSES'!R32</f>
        <v>580375.65</v>
      </c>
      <c r="F28" s="35" t="e">
        <f>E28-D28</f>
        <v>#REF!</v>
      </c>
      <c r="G28" s="21">
        <f aca="true" t="shared" si="3" ref="G28:G39">E28/C28</f>
        <v>0.2824788363174779</v>
      </c>
      <c r="H28" s="8"/>
      <c r="I28" s="9"/>
      <c r="J28" s="15"/>
    </row>
    <row r="29" spans="1:10" ht="15" customHeight="1">
      <c r="A29" s="20" t="s">
        <v>87</v>
      </c>
      <c r="B29" s="34">
        <v>696162</v>
      </c>
      <c r="C29" s="34">
        <v>585246</v>
      </c>
      <c r="D29" s="35" t="e">
        <f>#REF!</f>
        <v>#REF!</v>
      </c>
      <c r="E29" s="35">
        <f>'2013 PROFIT &amp; LOSSES'!R36</f>
        <v>156796.48</v>
      </c>
      <c r="F29" s="35" t="e">
        <f t="shared" si="2"/>
        <v>#REF!</v>
      </c>
      <c r="G29" s="21">
        <f t="shared" si="3"/>
        <v>0.267915509033808</v>
      </c>
      <c r="H29" s="8"/>
      <c r="I29" s="9"/>
      <c r="J29" s="15"/>
    </row>
    <row r="30" spans="1:10" ht="15" customHeight="1">
      <c r="A30" s="20" t="s">
        <v>17</v>
      </c>
      <c r="B30" s="34">
        <v>7986645</v>
      </c>
      <c r="C30" s="34">
        <v>7653505</v>
      </c>
      <c r="D30" s="35" t="e">
        <f>#REF!</f>
        <v>#REF!</v>
      </c>
      <c r="E30" s="35">
        <f>'2013 PROFIT &amp; LOSSES'!R40</f>
        <v>2275080.55</v>
      </c>
      <c r="F30" s="35" t="e">
        <f t="shared" si="2"/>
        <v>#REF!</v>
      </c>
      <c r="G30" s="21">
        <f t="shared" si="3"/>
        <v>0.29725995475275707</v>
      </c>
      <c r="H30" s="8"/>
      <c r="I30" s="9"/>
      <c r="J30" s="15"/>
    </row>
    <row r="31" spans="1:10" ht="15" customHeight="1">
      <c r="A31" s="20" t="s">
        <v>18</v>
      </c>
      <c r="B31" s="34">
        <v>20027575</v>
      </c>
      <c r="C31" s="34">
        <v>0</v>
      </c>
      <c r="D31" s="35" t="e">
        <f>#REF!</f>
        <v>#REF!</v>
      </c>
      <c r="E31" s="35">
        <v>0</v>
      </c>
      <c r="F31" s="35" t="e">
        <f t="shared" si="2"/>
        <v>#REF!</v>
      </c>
      <c r="G31" s="21">
        <v>0</v>
      </c>
      <c r="H31" s="8"/>
      <c r="I31" s="9"/>
      <c r="J31" s="15"/>
    </row>
    <row r="32" spans="1:10" ht="15" customHeight="1">
      <c r="A32" s="20" t="s">
        <v>93</v>
      </c>
      <c r="B32" s="34">
        <v>0</v>
      </c>
      <c r="C32" s="34">
        <v>10504913</v>
      </c>
      <c r="D32" s="35">
        <v>0</v>
      </c>
      <c r="E32" s="35">
        <f>'2013 PROFIT &amp; LOSSES'!R48</f>
        <v>2513024.6</v>
      </c>
      <c r="F32" s="35"/>
      <c r="G32" s="21">
        <f>E32/C32</f>
        <v>0.239223742262311</v>
      </c>
      <c r="H32" s="8"/>
      <c r="I32" s="9"/>
      <c r="J32" s="15"/>
    </row>
    <row r="33" spans="1:10" ht="15" customHeight="1">
      <c r="A33" s="20" t="s">
        <v>94</v>
      </c>
      <c r="B33" s="34">
        <v>0</v>
      </c>
      <c r="C33" s="34">
        <f>8611145+592000</f>
        <v>9203145</v>
      </c>
      <c r="D33" s="35">
        <v>0</v>
      </c>
      <c r="E33" s="35">
        <f>'2013 PROFIT &amp; LOSSES'!R52+'2013 PROFIT &amp; LOSSES'!R56</f>
        <v>2349275.27</v>
      </c>
      <c r="F33" s="35"/>
      <c r="G33" s="21">
        <f>E33/C33</f>
        <v>0.25526874454330556</v>
      </c>
      <c r="H33" s="8"/>
      <c r="I33" s="9"/>
      <c r="J33" s="15"/>
    </row>
    <row r="34" spans="1:10" ht="15" customHeight="1">
      <c r="A34" s="20" t="s">
        <v>19</v>
      </c>
      <c r="B34" s="34">
        <v>200000</v>
      </c>
      <c r="C34" s="34">
        <v>250000</v>
      </c>
      <c r="D34" s="35" t="e">
        <f>#REF!</f>
        <v>#REF!</v>
      </c>
      <c r="E34" s="35">
        <f>'2013 PROFIT &amp; LOSSES'!R60</f>
        <v>950</v>
      </c>
      <c r="F34" s="35" t="e">
        <f t="shared" si="2"/>
        <v>#REF!</v>
      </c>
      <c r="G34" s="21">
        <f t="shared" si="3"/>
        <v>0.0038</v>
      </c>
      <c r="H34" s="8"/>
      <c r="I34" s="9"/>
      <c r="J34" s="15"/>
    </row>
    <row r="35" spans="1:10" ht="15" customHeight="1">
      <c r="A35" s="91" t="s">
        <v>35</v>
      </c>
      <c r="B35" s="34">
        <v>2707564</v>
      </c>
      <c r="C35" s="34">
        <v>3046935</v>
      </c>
      <c r="D35" s="35" t="e">
        <f>#REF!</f>
        <v>#REF!</v>
      </c>
      <c r="E35" s="35">
        <f>'2013 PROFIT &amp; LOSSES'!R44</f>
        <v>499320.07</v>
      </c>
      <c r="F35" s="35" t="e">
        <f t="shared" si="2"/>
        <v>#REF!</v>
      </c>
      <c r="G35" s="21">
        <f t="shared" si="3"/>
        <v>0.16387618048957395</v>
      </c>
      <c r="H35" s="8"/>
      <c r="I35" s="9"/>
      <c r="J35" s="15"/>
    </row>
    <row r="36" spans="1:10" ht="15" customHeight="1">
      <c r="A36" s="20" t="s">
        <v>20</v>
      </c>
      <c r="B36" s="34">
        <v>9633492</v>
      </c>
      <c r="C36" s="34">
        <v>9514640</v>
      </c>
      <c r="D36" s="35" t="e">
        <f>#REF!</f>
        <v>#REF!</v>
      </c>
      <c r="E36" s="35">
        <f>'2013 PROFIT &amp; LOSSES'!R62</f>
        <v>2612180.76</v>
      </c>
      <c r="F36" s="35" t="e">
        <f t="shared" si="2"/>
        <v>#REF!</v>
      </c>
      <c r="G36" s="21">
        <f t="shared" si="3"/>
        <v>0.27454331009896327</v>
      </c>
      <c r="H36" s="8"/>
      <c r="I36" s="9"/>
      <c r="J36" s="15"/>
    </row>
    <row r="37" spans="1:10" ht="15" customHeight="1">
      <c r="A37" s="20" t="s">
        <v>21</v>
      </c>
      <c r="B37" s="34">
        <v>1429731</v>
      </c>
      <c r="C37" s="34">
        <v>1365971</v>
      </c>
      <c r="D37" s="35" t="e">
        <f>#REF!</f>
        <v>#REF!</v>
      </c>
      <c r="E37" s="35">
        <f>'2013 PROFIT &amp; LOSSES'!R66</f>
        <v>409967.58</v>
      </c>
      <c r="F37" s="35" t="e">
        <f t="shared" si="2"/>
        <v>#REF!</v>
      </c>
      <c r="G37" s="21">
        <f t="shared" si="3"/>
        <v>0.30012905105598875</v>
      </c>
      <c r="H37" s="8"/>
      <c r="I37" s="9"/>
      <c r="J37" s="15"/>
    </row>
    <row r="38" spans="1:10" ht="15" customHeight="1">
      <c r="A38" s="20" t="s">
        <v>22</v>
      </c>
      <c r="B38" s="34">
        <v>1735303</v>
      </c>
      <c r="C38" s="34">
        <v>1813531</v>
      </c>
      <c r="D38" s="35" t="e">
        <f>#REF!</f>
        <v>#REF!</v>
      </c>
      <c r="E38" s="35">
        <f>'2013 PROFIT &amp; LOSSES'!R70</f>
        <v>577553.05</v>
      </c>
      <c r="F38" s="35" t="e">
        <f t="shared" si="2"/>
        <v>#REF!</v>
      </c>
      <c r="G38" s="21">
        <f t="shared" si="3"/>
        <v>0.31846880477918493</v>
      </c>
      <c r="H38" s="8"/>
      <c r="I38" s="9"/>
      <c r="J38" s="16"/>
    </row>
    <row r="39" spans="1:10" ht="15" customHeight="1">
      <c r="A39" s="20" t="s">
        <v>23</v>
      </c>
      <c r="B39" s="34">
        <v>2709420</v>
      </c>
      <c r="C39" s="34">
        <v>3415000</v>
      </c>
      <c r="D39" s="35" t="e">
        <f>#REF!</f>
        <v>#REF!</v>
      </c>
      <c r="E39" s="35">
        <f>'2013 PROFIT &amp; LOSSES'!R74</f>
        <v>602335.3200000001</v>
      </c>
      <c r="F39" s="35" t="e">
        <f t="shared" si="2"/>
        <v>#REF!</v>
      </c>
      <c r="G39" s="21">
        <f t="shared" si="3"/>
        <v>0.1763793030746706</v>
      </c>
      <c r="H39" s="8"/>
      <c r="I39" s="9"/>
      <c r="J39" s="16"/>
    </row>
    <row r="40" spans="1:9" ht="15" customHeight="1">
      <c r="A40" s="26" t="s">
        <v>24</v>
      </c>
      <c r="B40" s="36">
        <v>7000000</v>
      </c>
      <c r="C40" s="36">
        <v>1550000</v>
      </c>
      <c r="D40" s="37">
        <v>0</v>
      </c>
      <c r="E40" s="35">
        <v>0</v>
      </c>
      <c r="F40" s="35">
        <f t="shared" si="2"/>
        <v>0</v>
      </c>
      <c r="G40" s="28"/>
      <c r="H40" s="3"/>
      <c r="I40" s="7"/>
    </row>
    <row r="41" spans="1:9" ht="15" customHeight="1">
      <c r="A41" s="27"/>
      <c r="B41" s="38"/>
      <c r="C41" s="38"/>
      <c r="D41" s="39"/>
      <c r="E41" s="39"/>
      <c r="F41" s="39"/>
      <c r="G41" s="30"/>
      <c r="H41" s="3"/>
      <c r="I41" s="7"/>
    </row>
    <row r="42" spans="1:10" s="10" customFormat="1" ht="18" customHeight="1">
      <c r="A42" s="18" t="s">
        <v>27</v>
      </c>
      <c r="B42" s="40">
        <f>SUM(B27:B40)</f>
        <v>58013403</v>
      </c>
      <c r="C42" s="40">
        <f>SUM(C27:C40)</f>
        <v>52841725</v>
      </c>
      <c r="D42" s="41" t="e">
        <f>SUM(D27:D40)</f>
        <v>#REF!</v>
      </c>
      <c r="E42" s="41">
        <f>SUM(E27:E40)</f>
        <v>13163751.020000001</v>
      </c>
      <c r="F42" s="41" t="e">
        <f>SUM(F27:F40)</f>
        <v>#REF!</v>
      </c>
      <c r="G42" s="29">
        <f>E42/C42</f>
        <v>0.24911660283611106</v>
      </c>
      <c r="J42" s="16"/>
    </row>
    <row r="43" spans="2:6" ht="12.75">
      <c r="B43" s="46"/>
      <c r="C43" s="46"/>
      <c r="D43" s="46"/>
      <c r="E43" s="46"/>
      <c r="F43" s="46"/>
    </row>
    <row r="44" spans="2:6" ht="12.75">
      <c r="B44" s="46"/>
      <c r="C44" s="46"/>
      <c r="D44" s="46"/>
      <c r="E44" s="46"/>
      <c r="F44" s="46"/>
    </row>
    <row r="45" spans="2:6" ht="12.75">
      <c r="B45" s="46"/>
      <c r="C45" s="46"/>
      <c r="D45" s="46"/>
      <c r="E45" s="46"/>
      <c r="F45" s="46"/>
    </row>
    <row r="46" spans="2:6" ht="12.75">
      <c r="B46" s="46"/>
      <c r="C46" s="46"/>
      <c r="D46" s="46"/>
      <c r="E46" s="46"/>
      <c r="F46" s="46"/>
    </row>
    <row r="47" spans="2:6" ht="12.75">
      <c r="B47" s="46"/>
      <c r="C47" s="46"/>
      <c r="D47" s="46"/>
      <c r="E47" s="46"/>
      <c r="F47" s="46"/>
    </row>
    <row r="48" spans="2:6" ht="12.75">
      <c r="B48" s="46"/>
      <c r="C48" s="46"/>
      <c r="D48" s="46"/>
      <c r="E48" s="46"/>
      <c r="F48" s="46"/>
    </row>
    <row r="49" spans="2:8" ht="12.75">
      <c r="B49" s="46"/>
      <c r="C49" s="46"/>
      <c r="D49" s="46"/>
      <c r="E49" s="46"/>
      <c r="F49" s="46"/>
      <c r="H49" s="33"/>
    </row>
    <row r="50" spans="2:8" ht="12.75">
      <c r="B50" s="46"/>
      <c r="C50" s="46"/>
      <c r="D50" s="46"/>
      <c r="E50" s="46"/>
      <c r="F50" s="46"/>
      <c r="H50" s="33"/>
    </row>
    <row r="51" spans="2:8" ht="12.75">
      <c r="B51" s="46"/>
      <c r="C51" s="46"/>
      <c r="D51" s="46"/>
      <c r="E51" s="46"/>
      <c r="F51" s="46"/>
      <c r="H51" s="33"/>
    </row>
  </sheetData>
  <sheetProtection/>
  <mergeCells count="14">
    <mergeCell ref="A24:A26"/>
    <mergeCell ref="B24:B26"/>
    <mergeCell ref="C24:C26"/>
    <mergeCell ref="F24:F26"/>
    <mergeCell ref="G24:G26"/>
    <mergeCell ref="D25:D26"/>
    <mergeCell ref="E25:E26"/>
    <mergeCell ref="A1:A3"/>
    <mergeCell ref="B1:B3"/>
    <mergeCell ref="C1:C3"/>
    <mergeCell ref="F1:F3"/>
    <mergeCell ref="G1:G3"/>
    <mergeCell ref="D2:D3"/>
    <mergeCell ref="E2:E3"/>
  </mergeCells>
  <printOptions horizontalCentered="1" verticalCentered="1"/>
  <pageMargins left="0.5" right="0.5" top="1" bottom="0.5" header="0.25" footer="0.3"/>
  <pageSetup fitToHeight="1" fitToWidth="1" horizontalDpi="300" verticalDpi="300" orientation="landscape" scale="88" r:id="rId1"/>
  <headerFooter>
    <oddHeader>&amp;C&amp;"-,Bold"&amp;12Forest Preserve District of Cook County
Corporate Fund Analysis of Revenue and Expense
As of May 31, 2013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145" zoomScaleNormal="145" zoomScalePageLayoutView="0" workbookViewId="0" topLeftCell="A25">
      <selection activeCell="H45" sqref="H45"/>
    </sheetView>
  </sheetViews>
  <sheetFormatPr defaultColWidth="12.421875" defaultRowHeight="15"/>
  <cols>
    <col min="1" max="1" width="26.7109375" style="5" customWidth="1"/>
    <col min="2" max="3" width="13.7109375" style="5" customWidth="1"/>
    <col min="4" max="6" width="20.7109375" style="5" customWidth="1"/>
    <col min="7" max="7" width="14.28125" style="5" customWidth="1"/>
    <col min="8" max="8" width="14.421875" style="5" customWidth="1"/>
    <col min="9" max="10" width="15.28125" style="5" customWidth="1"/>
    <col min="11" max="11" width="13.57421875" style="5" customWidth="1"/>
    <col min="12" max="12" width="15.28125" style="5" customWidth="1"/>
    <col min="13" max="13" width="15.421875" style="5" customWidth="1"/>
    <col min="14" max="14" width="8.00390625" style="5" customWidth="1"/>
    <col min="15" max="15" width="18.57421875" style="5" customWidth="1"/>
    <col min="16" max="16" width="13.7109375" style="5" customWidth="1"/>
    <col min="17" max="18" width="12.421875" style="5" customWidth="1"/>
    <col min="19" max="19" width="11.57421875" style="5" customWidth="1"/>
    <col min="20" max="16384" width="12.421875" style="5" customWidth="1"/>
  </cols>
  <sheetData>
    <row r="1" spans="1:11" ht="15" customHeight="1">
      <c r="A1" s="108" t="s">
        <v>0</v>
      </c>
      <c r="B1" s="114" t="s">
        <v>34</v>
      </c>
      <c r="C1" s="114" t="s">
        <v>88</v>
      </c>
      <c r="D1" s="19">
        <v>41000</v>
      </c>
      <c r="E1" s="19">
        <v>41365</v>
      </c>
      <c r="F1" s="110" t="s">
        <v>28</v>
      </c>
      <c r="G1" s="112" t="s">
        <v>29</v>
      </c>
      <c r="H1" s="6"/>
      <c r="I1" s="6"/>
      <c r="J1" s="6"/>
      <c r="K1" s="6"/>
    </row>
    <row r="2" spans="1:11" ht="15" customHeight="1">
      <c r="A2" s="108"/>
      <c r="B2" s="115" t="s">
        <v>25</v>
      </c>
      <c r="C2" s="115" t="s">
        <v>25</v>
      </c>
      <c r="D2" s="110" t="s">
        <v>26</v>
      </c>
      <c r="E2" s="110" t="s">
        <v>26</v>
      </c>
      <c r="F2" s="110"/>
      <c r="G2" s="112"/>
      <c r="H2" s="11"/>
      <c r="I2" s="11"/>
      <c r="J2" s="6"/>
      <c r="K2" s="11"/>
    </row>
    <row r="3" spans="1:11" ht="15" customHeight="1">
      <c r="A3" s="108"/>
      <c r="B3" s="106"/>
      <c r="C3" s="106"/>
      <c r="D3" s="110"/>
      <c r="E3" s="110"/>
      <c r="F3" s="110"/>
      <c r="G3" s="112"/>
      <c r="H3" s="11"/>
      <c r="I3" s="11"/>
      <c r="J3" s="11"/>
      <c r="K3" s="11"/>
    </row>
    <row r="4" spans="1:11" ht="15" customHeight="1">
      <c r="A4" s="20" t="s">
        <v>30</v>
      </c>
      <c r="B4" s="34">
        <f>41363334-1568167</f>
        <v>39795167</v>
      </c>
      <c r="C4" s="34">
        <f>46708559-1401257</f>
        <v>45307302</v>
      </c>
      <c r="D4" s="35" t="e">
        <f>#REF!</f>
        <v>#REF!</v>
      </c>
      <c r="E4" s="35">
        <f>'2013 PROFIT &amp; LOSSES'!N5</f>
        <v>18893009.03</v>
      </c>
      <c r="F4" s="35" t="e">
        <f>E4-D4</f>
        <v>#REF!</v>
      </c>
      <c r="G4" s="42">
        <f>E4/C4</f>
        <v>0.41699700039521226</v>
      </c>
      <c r="H4" s="12"/>
      <c r="I4" s="12"/>
      <c r="J4" s="8"/>
      <c r="K4" s="12"/>
    </row>
    <row r="5" spans="1:11" ht="15" customHeight="1">
      <c r="A5" s="20" t="s">
        <v>31</v>
      </c>
      <c r="B5" s="34">
        <v>5200000</v>
      </c>
      <c r="C5" s="34">
        <v>834100</v>
      </c>
      <c r="D5" s="35" t="e">
        <f>#REF!</f>
        <v>#REF!</v>
      </c>
      <c r="E5" s="35">
        <f>'2013 PROFIT &amp; LOSSES'!N8</f>
        <v>420286.72</v>
      </c>
      <c r="F5" s="35" t="e">
        <f aca="true" t="shared" si="0" ref="F5:F19">E5-D5</f>
        <v>#REF!</v>
      </c>
      <c r="G5" s="42">
        <f aca="true" t="shared" si="1" ref="G5:G18">E5/C5</f>
        <v>0.50388049394557</v>
      </c>
      <c r="H5" s="12"/>
      <c r="I5" s="32"/>
      <c r="J5" s="32"/>
      <c r="K5" s="12"/>
    </row>
    <row r="6" spans="1:11" ht="15" customHeight="1">
      <c r="A6" s="20" t="s">
        <v>1</v>
      </c>
      <c r="B6" s="34">
        <v>900000</v>
      </c>
      <c r="C6" s="34">
        <v>990000</v>
      </c>
      <c r="D6" s="35" t="e">
        <f>#REF!</f>
        <v>#REF!</v>
      </c>
      <c r="E6" s="35">
        <f>'2013 PROFIT &amp; LOSSES'!N11</f>
        <v>151124.26</v>
      </c>
      <c r="F6" s="35" t="e">
        <f t="shared" si="0"/>
        <v>#REF!</v>
      </c>
      <c r="G6" s="42">
        <f t="shared" si="1"/>
        <v>0.1526507676767677</v>
      </c>
      <c r="H6" s="12"/>
      <c r="I6" s="31"/>
      <c r="J6" s="31"/>
      <c r="K6" s="12"/>
    </row>
    <row r="7" spans="1:11" ht="15" customHeight="1">
      <c r="A7" s="20" t="s">
        <v>2</v>
      </c>
      <c r="B7" s="34">
        <v>150000</v>
      </c>
      <c r="C7" s="34">
        <v>200000</v>
      </c>
      <c r="D7" s="35" t="e">
        <f>#REF!</f>
        <v>#REF!</v>
      </c>
      <c r="E7" s="35">
        <f>'2013 PROFIT &amp; LOSSES'!N14</f>
        <v>40220.14</v>
      </c>
      <c r="F7" s="35" t="e">
        <f>E7-D7</f>
        <v>#REF!</v>
      </c>
      <c r="G7" s="42">
        <f t="shared" si="1"/>
        <v>0.2011007</v>
      </c>
      <c r="H7" s="12"/>
      <c r="I7" s="12"/>
      <c r="J7" s="8"/>
      <c r="K7" s="12"/>
    </row>
    <row r="8" spans="1:11" ht="15" customHeight="1">
      <c r="A8" s="20" t="s">
        <v>3</v>
      </c>
      <c r="B8" s="34">
        <v>1751670</v>
      </c>
      <c r="C8" s="34">
        <f>1165700+234300</f>
        <v>1400000</v>
      </c>
      <c r="D8" s="35" t="e">
        <f>#REF!</f>
        <v>#REF!</v>
      </c>
      <c r="E8" s="35">
        <f>'2013 PROFIT &amp; LOSSES'!N16</f>
        <v>671710.13</v>
      </c>
      <c r="F8" s="35" t="e">
        <f>E8-D8</f>
        <v>#REF!</v>
      </c>
      <c r="G8" s="42">
        <f t="shared" si="1"/>
        <v>0.47979295</v>
      </c>
      <c r="H8" s="12"/>
      <c r="I8" s="12"/>
      <c r="J8" s="8"/>
      <c r="K8" s="12"/>
    </row>
    <row r="9" spans="1:11" ht="15" customHeight="1">
      <c r="A9" s="20" t="s">
        <v>4</v>
      </c>
      <c r="B9" s="34">
        <v>250000</v>
      </c>
      <c r="C9" s="34">
        <v>250000</v>
      </c>
      <c r="D9" s="35" t="e">
        <f>#REF!</f>
        <v>#REF!</v>
      </c>
      <c r="E9" s="35">
        <f>'2013 PROFIT &amp; LOSSES'!N15</f>
        <v>80891.73</v>
      </c>
      <c r="F9" s="35" t="e">
        <f t="shared" si="0"/>
        <v>#REF!</v>
      </c>
      <c r="G9" s="42">
        <f t="shared" si="1"/>
        <v>0.32356692</v>
      </c>
      <c r="H9" s="12"/>
      <c r="I9" s="12"/>
      <c r="J9" s="8"/>
      <c r="K9" s="12"/>
    </row>
    <row r="10" spans="1:12" ht="15" customHeight="1">
      <c r="A10" s="20" t="s">
        <v>5</v>
      </c>
      <c r="B10" s="34">
        <v>25000</v>
      </c>
      <c r="C10" s="34">
        <v>15000</v>
      </c>
      <c r="D10" s="35" t="e">
        <f>#REF!</f>
        <v>#REF!</v>
      </c>
      <c r="E10" s="35">
        <f>'2013 PROFIT &amp; LOSSES'!N17</f>
        <v>5310</v>
      </c>
      <c r="F10" s="35" t="e">
        <f t="shared" si="0"/>
        <v>#REF!</v>
      </c>
      <c r="G10" s="42">
        <f t="shared" si="1"/>
        <v>0.354</v>
      </c>
      <c r="H10" s="12"/>
      <c r="I10" s="12"/>
      <c r="J10" s="8"/>
      <c r="K10" s="12"/>
      <c r="L10" s="4"/>
    </row>
    <row r="11" spans="1:11" ht="15" customHeight="1">
      <c r="A11" s="20" t="s">
        <v>6</v>
      </c>
      <c r="B11" s="34">
        <v>35000</v>
      </c>
      <c r="C11" s="34">
        <v>40000</v>
      </c>
      <c r="D11" s="35" t="e">
        <f>#REF!</f>
        <v>#REF!</v>
      </c>
      <c r="E11" s="35">
        <f>'2013 PROFIT &amp; LOSSES'!N19</f>
        <v>3579</v>
      </c>
      <c r="F11" s="35" t="e">
        <f t="shared" si="0"/>
        <v>#REF!</v>
      </c>
      <c r="G11" s="42">
        <f t="shared" si="1"/>
        <v>0.089475</v>
      </c>
      <c r="H11" s="12"/>
      <c r="I11" s="12"/>
      <c r="J11" s="8"/>
      <c r="K11" s="12"/>
    </row>
    <row r="12" spans="1:11" ht="15" customHeight="1">
      <c r="A12" s="20" t="s">
        <v>7</v>
      </c>
      <c r="B12" s="34">
        <v>50000</v>
      </c>
      <c r="C12" s="34">
        <v>100000</v>
      </c>
      <c r="D12" s="35" t="e">
        <f>#REF!</f>
        <v>#REF!</v>
      </c>
      <c r="E12" s="35">
        <f>'2013 PROFIT &amp; LOSSES'!N20</f>
        <v>50244.57</v>
      </c>
      <c r="F12" s="35" t="e">
        <f t="shared" si="0"/>
        <v>#REF!</v>
      </c>
      <c r="G12" s="42">
        <f t="shared" si="1"/>
        <v>0.5024457</v>
      </c>
      <c r="H12" s="12"/>
      <c r="I12" s="12"/>
      <c r="J12" s="8"/>
      <c r="K12" s="12"/>
    </row>
    <row r="13" spans="1:12" ht="15" customHeight="1">
      <c r="A13" s="20" t="s">
        <v>8</v>
      </c>
      <c r="B13" s="34">
        <v>850000</v>
      </c>
      <c r="C13" s="34">
        <v>890000</v>
      </c>
      <c r="D13" s="35" t="e">
        <f>#REF!</f>
        <v>#REF!</v>
      </c>
      <c r="E13" s="35">
        <f>'2013 PROFIT &amp; LOSSES'!N12</f>
        <v>467106.52</v>
      </c>
      <c r="F13" s="35" t="e">
        <f t="shared" si="0"/>
        <v>#REF!</v>
      </c>
      <c r="G13" s="42">
        <f t="shared" si="1"/>
        <v>0.524838786516854</v>
      </c>
      <c r="H13" s="12"/>
      <c r="I13" s="12"/>
      <c r="J13" s="8"/>
      <c r="K13" s="12"/>
      <c r="L13" s="4"/>
    </row>
    <row r="14" spans="1:11" ht="15" customHeight="1">
      <c r="A14" s="20" t="s">
        <v>9</v>
      </c>
      <c r="B14" s="34">
        <v>250000</v>
      </c>
      <c r="C14" s="34">
        <v>400000</v>
      </c>
      <c r="D14" s="35" t="e">
        <f>#REF!</f>
        <v>#REF!</v>
      </c>
      <c r="E14" s="35">
        <f>'2013 PROFIT &amp; LOSSES'!N13</f>
        <v>0</v>
      </c>
      <c r="F14" s="35" t="e">
        <f t="shared" si="0"/>
        <v>#REF!</v>
      </c>
      <c r="G14" s="42">
        <f t="shared" si="1"/>
        <v>0</v>
      </c>
      <c r="H14" s="12"/>
      <c r="I14" s="12"/>
      <c r="J14" s="8"/>
      <c r="K14" s="12"/>
    </row>
    <row r="15" spans="1:11" ht="15" customHeight="1">
      <c r="A15" s="20" t="s">
        <v>10</v>
      </c>
      <c r="B15" s="34">
        <v>175000</v>
      </c>
      <c r="C15" s="34">
        <v>320000</v>
      </c>
      <c r="D15" s="35" t="e">
        <f>#REF!</f>
        <v>#REF!</v>
      </c>
      <c r="E15" s="35">
        <f>'2013 PROFIT &amp; LOSSES'!N18</f>
        <v>106742.18</v>
      </c>
      <c r="F15" s="35" t="e">
        <f t="shared" si="0"/>
        <v>#REF!</v>
      </c>
      <c r="G15" s="42">
        <f t="shared" si="1"/>
        <v>0.3335693125</v>
      </c>
      <c r="H15" s="12"/>
      <c r="I15" s="12"/>
      <c r="J15" s="8"/>
      <c r="K15" s="12"/>
    </row>
    <row r="16" spans="1:11" ht="12.75">
      <c r="A16" s="20" t="s">
        <v>11</v>
      </c>
      <c r="B16" s="34">
        <v>50000</v>
      </c>
      <c r="C16" s="34">
        <v>150000</v>
      </c>
      <c r="D16" s="35" t="e">
        <f>#REF!</f>
        <v>#REF!</v>
      </c>
      <c r="E16" s="35">
        <f>'2013 PROFIT &amp; LOSSES'!N21</f>
        <v>9780</v>
      </c>
      <c r="F16" s="35" t="e">
        <f t="shared" si="0"/>
        <v>#REF!</v>
      </c>
      <c r="G16" s="42">
        <f t="shared" si="1"/>
        <v>0.0652</v>
      </c>
      <c r="H16" s="12"/>
      <c r="I16" s="12"/>
      <c r="J16" s="8"/>
      <c r="K16" s="12"/>
    </row>
    <row r="17" spans="1:11" ht="15" customHeight="1" hidden="1">
      <c r="A17" s="20" t="s">
        <v>12</v>
      </c>
      <c r="B17" s="34"/>
      <c r="C17" s="34"/>
      <c r="D17" s="35" t="e">
        <f>#REF!</f>
        <v>#REF!</v>
      </c>
      <c r="E17" s="35">
        <v>0</v>
      </c>
      <c r="F17" s="35" t="e">
        <f t="shared" si="0"/>
        <v>#REF!</v>
      </c>
      <c r="G17" s="42" t="e">
        <f t="shared" si="1"/>
        <v>#DIV/0!</v>
      </c>
      <c r="H17" s="12"/>
      <c r="I17" s="12"/>
      <c r="J17" s="8"/>
      <c r="K17" s="12"/>
    </row>
    <row r="18" spans="1:11" ht="12.75" customHeight="1" hidden="1">
      <c r="A18" s="20"/>
      <c r="B18" s="34"/>
      <c r="C18" s="34"/>
      <c r="D18" s="35" t="e">
        <f>#REF!</f>
        <v>#REF!</v>
      </c>
      <c r="E18" s="35">
        <v>0</v>
      </c>
      <c r="F18" s="35" t="e">
        <f t="shared" si="0"/>
        <v>#REF!</v>
      </c>
      <c r="G18" s="42" t="e">
        <f t="shared" si="1"/>
        <v>#DIV/0!</v>
      </c>
      <c r="H18" s="2"/>
      <c r="I18" s="2"/>
      <c r="J18" s="3"/>
      <c r="K18" s="2"/>
    </row>
    <row r="19" spans="1:11" ht="15" customHeight="1">
      <c r="A19" s="26" t="s">
        <v>13</v>
      </c>
      <c r="B19" s="36">
        <v>8531566</v>
      </c>
      <c r="C19" s="36">
        <v>1945323</v>
      </c>
      <c r="D19" s="35">
        <v>0</v>
      </c>
      <c r="E19" s="37">
        <v>0</v>
      </c>
      <c r="F19" s="37">
        <f t="shared" si="0"/>
        <v>0</v>
      </c>
      <c r="G19" s="43"/>
      <c r="H19" s="12"/>
      <c r="I19" s="12"/>
      <c r="J19" s="8"/>
      <c r="K19" s="12"/>
    </row>
    <row r="20" spans="1:11" ht="15" customHeight="1">
      <c r="A20" s="27"/>
      <c r="B20" s="38"/>
      <c r="C20" s="38"/>
      <c r="D20" s="39"/>
      <c r="E20" s="39"/>
      <c r="F20" s="39"/>
      <c r="G20" s="44"/>
      <c r="H20" s="12"/>
      <c r="I20" s="12"/>
      <c r="J20" s="8"/>
      <c r="K20" s="12"/>
    </row>
    <row r="21" spans="1:14" s="10" customFormat="1" ht="18" customHeight="1">
      <c r="A21" s="18" t="s">
        <v>27</v>
      </c>
      <c r="B21" s="40">
        <f>SUM(B4:B19)</f>
        <v>58013403</v>
      </c>
      <c r="C21" s="40">
        <f>SUM(C4:C19)</f>
        <v>52841725</v>
      </c>
      <c r="D21" s="41" t="e">
        <f>D19+D16+D15+D14+D13+D12+D11+D10+D9+D8+D7+D6+D5+D4</f>
        <v>#REF!</v>
      </c>
      <c r="E21" s="41">
        <f>SUM(E4:E19)</f>
        <v>20900004.28</v>
      </c>
      <c r="F21" s="41" t="e">
        <f>SUM(F4:F19)</f>
        <v>#REF!</v>
      </c>
      <c r="G21" s="45">
        <f>E21/C21</f>
        <v>0.3955208555360371</v>
      </c>
      <c r="H21" s="12"/>
      <c r="I21" s="12">
        <f>E21-20900004.28</f>
        <v>0</v>
      </c>
      <c r="J21" s="8"/>
      <c r="K21" s="12"/>
      <c r="L21" s="8"/>
      <c r="N21" s="17"/>
    </row>
    <row r="22" spans="1:11" ht="12" customHeight="1">
      <c r="A22" s="1"/>
      <c r="B22" s="4"/>
      <c r="C22" s="4"/>
      <c r="D22" s="4"/>
      <c r="E22" s="4"/>
      <c r="F22" s="13"/>
      <c r="G22" s="13"/>
      <c r="H22" s="2"/>
      <c r="I22" s="2"/>
      <c r="J22" s="3"/>
      <c r="K22" s="2"/>
    </row>
    <row r="23" spans="1:10" ht="12" customHeight="1">
      <c r="A23" s="22"/>
      <c r="B23" s="23"/>
      <c r="C23" s="22"/>
      <c r="D23" s="92"/>
      <c r="E23" s="23"/>
      <c r="F23" s="24"/>
      <c r="G23" s="25"/>
      <c r="H23" s="14"/>
      <c r="I23" s="14"/>
      <c r="J23" s="14"/>
    </row>
    <row r="24" spans="1:9" ht="15" customHeight="1">
      <c r="A24" s="106" t="s">
        <v>14</v>
      </c>
      <c r="B24" s="106" t="s">
        <v>34</v>
      </c>
      <c r="C24" s="106" t="s">
        <v>88</v>
      </c>
      <c r="D24" s="19">
        <v>41000</v>
      </c>
      <c r="E24" s="19">
        <v>41365</v>
      </c>
      <c r="F24" s="109" t="s">
        <v>28</v>
      </c>
      <c r="G24" s="111" t="s">
        <v>29</v>
      </c>
      <c r="H24" s="6"/>
      <c r="I24" s="6"/>
    </row>
    <row r="25" spans="1:9" ht="15" customHeight="1">
      <c r="A25" s="107"/>
      <c r="B25" s="108"/>
      <c r="C25" s="108"/>
      <c r="D25" s="113" t="s">
        <v>26</v>
      </c>
      <c r="E25" s="110" t="s">
        <v>26</v>
      </c>
      <c r="F25" s="110"/>
      <c r="G25" s="112"/>
      <c r="H25" s="90"/>
      <c r="I25" s="11"/>
    </row>
    <row r="26" spans="1:10" ht="15" customHeight="1">
      <c r="A26" s="107"/>
      <c r="B26" s="108"/>
      <c r="C26" s="108"/>
      <c r="D26" s="109"/>
      <c r="E26" s="110"/>
      <c r="F26" s="110"/>
      <c r="G26" s="112"/>
      <c r="H26" s="11"/>
      <c r="I26" s="11"/>
      <c r="J26" s="15"/>
    </row>
    <row r="27" spans="1:10" ht="15" customHeight="1">
      <c r="A27" s="20" t="s">
        <v>15</v>
      </c>
      <c r="B27" s="34">
        <v>2100290</v>
      </c>
      <c r="C27" s="34">
        <v>1884258</v>
      </c>
      <c r="D27" s="35" t="e">
        <f>#REF!</f>
        <v>#REF!</v>
      </c>
      <c r="E27" s="35">
        <f>'2013 PROFIT &amp; LOSSES'!N28</f>
        <v>417918.84</v>
      </c>
      <c r="F27" s="35" t="e">
        <f aca="true" t="shared" si="2" ref="F27:F40">E27-D27</f>
        <v>#REF!</v>
      </c>
      <c r="G27" s="21">
        <f>E27/C27</f>
        <v>0.22179491343542126</v>
      </c>
      <c r="H27" s="8"/>
      <c r="I27" s="12"/>
      <c r="J27" s="15"/>
    </row>
    <row r="28" spans="1:10" ht="15" customHeight="1">
      <c r="A28" s="20" t="s">
        <v>16</v>
      </c>
      <c r="B28" s="34">
        <v>1787221</v>
      </c>
      <c r="C28" s="34">
        <v>2054581</v>
      </c>
      <c r="D28" s="35" t="e">
        <f>#REF!</f>
        <v>#REF!</v>
      </c>
      <c r="E28" s="35">
        <f>'2013 PROFIT &amp; LOSSES'!N32</f>
        <v>388007.33</v>
      </c>
      <c r="F28" s="35" t="e">
        <f>E28-D28</f>
        <v>#REF!</v>
      </c>
      <c r="G28" s="21">
        <f aca="true" t="shared" si="3" ref="G28:G39">E28/C28</f>
        <v>0.1888498579515726</v>
      </c>
      <c r="H28" s="8"/>
      <c r="I28" s="9"/>
      <c r="J28" s="15"/>
    </row>
    <row r="29" spans="1:10" ht="15" customHeight="1">
      <c r="A29" s="20" t="s">
        <v>87</v>
      </c>
      <c r="B29" s="34">
        <v>696162</v>
      </c>
      <c r="C29" s="34">
        <v>585246</v>
      </c>
      <c r="D29" s="35" t="e">
        <f>#REF!</f>
        <v>#REF!</v>
      </c>
      <c r="E29" s="35">
        <f>'2013 PROFIT &amp; LOSSES'!N36</f>
        <v>107787.97</v>
      </c>
      <c r="F29" s="35" t="e">
        <f t="shared" si="2"/>
        <v>#REF!</v>
      </c>
      <c r="G29" s="21">
        <f t="shared" si="3"/>
        <v>0.18417549201532346</v>
      </c>
      <c r="H29" s="8"/>
      <c r="I29" s="9"/>
      <c r="J29" s="15"/>
    </row>
    <row r="30" spans="1:10" ht="15" customHeight="1">
      <c r="A30" s="20" t="s">
        <v>17</v>
      </c>
      <c r="B30" s="34">
        <v>7986645</v>
      </c>
      <c r="C30" s="34">
        <v>7653505</v>
      </c>
      <c r="D30" s="35" t="e">
        <f>#REF!</f>
        <v>#REF!</v>
      </c>
      <c r="E30" s="35">
        <f>'2013 PROFIT &amp; LOSSES'!N40</f>
        <v>1570345.51</v>
      </c>
      <c r="F30" s="35" t="e">
        <f t="shared" si="2"/>
        <v>#REF!</v>
      </c>
      <c r="G30" s="21">
        <f t="shared" si="3"/>
        <v>0.20517991560729365</v>
      </c>
      <c r="H30" s="8"/>
      <c r="I30" s="9"/>
      <c r="J30" s="15"/>
    </row>
    <row r="31" spans="1:10" ht="15" customHeight="1">
      <c r="A31" s="20" t="s">
        <v>18</v>
      </c>
      <c r="B31" s="34">
        <v>20027575</v>
      </c>
      <c r="C31" s="34">
        <v>0</v>
      </c>
      <c r="D31" s="35" t="e">
        <f>#REF!</f>
        <v>#REF!</v>
      </c>
      <c r="E31" s="35">
        <v>0</v>
      </c>
      <c r="F31" s="35" t="e">
        <f t="shared" si="2"/>
        <v>#REF!</v>
      </c>
      <c r="G31" s="21">
        <v>0</v>
      </c>
      <c r="H31" s="8"/>
      <c r="I31" s="9"/>
      <c r="J31" s="15"/>
    </row>
    <row r="32" spans="1:10" ht="15" customHeight="1">
      <c r="A32" s="20" t="s">
        <v>93</v>
      </c>
      <c r="B32" s="34">
        <v>0</v>
      </c>
      <c r="C32" s="34">
        <v>10504913</v>
      </c>
      <c r="D32" s="35">
        <v>0</v>
      </c>
      <c r="E32" s="35">
        <f>'2013 PROFIT &amp; LOSSES'!N48</f>
        <v>1540840.77</v>
      </c>
      <c r="F32" s="35"/>
      <c r="G32" s="21">
        <f>E32/C32</f>
        <v>0.14667810861451208</v>
      </c>
      <c r="H32" s="8"/>
      <c r="I32" s="9"/>
      <c r="J32" s="15"/>
    </row>
    <row r="33" spans="1:10" ht="15" customHeight="1">
      <c r="A33" s="20" t="s">
        <v>94</v>
      </c>
      <c r="B33" s="34">
        <v>0</v>
      </c>
      <c r="C33" s="34">
        <f>8611145+592000</f>
        <v>9203145</v>
      </c>
      <c r="D33" s="35">
        <v>0</v>
      </c>
      <c r="E33" s="35">
        <f>'2013 PROFIT &amp; LOSSES'!N52+'2013 PROFIT &amp; LOSSES'!N56</f>
        <v>1652052.5</v>
      </c>
      <c r="F33" s="35"/>
      <c r="G33" s="21">
        <f>E33/C33</f>
        <v>0.17950955896055099</v>
      </c>
      <c r="H33" s="8"/>
      <c r="I33" s="9"/>
      <c r="J33" s="15"/>
    </row>
    <row r="34" spans="1:10" ht="15" customHeight="1">
      <c r="A34" s="20" t="s">
        <v>19</v>
      </c>
      <c r="B34" s="34">
        <v>200000</v>
      </c>
      <c r="C34" s="34">
        <v>250000</v>
      </c>
      <c r="D34" s="35" t="e">
        <f>#REF!</f>
        <v>#REF!</v>
      </c>
      <c r="E34" s="35">
        <f>'2013 PROFIT &amp; LOSSES'!N60</f>
        <v>950</v>
      </c>
      <c r="F34" s="35" t="e">
        <f t="shared" si="2"/>
        <v>#REF!</v>
      </c>
      <c r="G34" s="21">
        <f t="shared" si="3"/>
        <v>0.0038</v>
      </c>
      <c r="H34" s="8"/>
      <c r="I34" s="9"/>
      <c r="J34" s="15"/>
    </row>
    <row r="35" spans="1:10" ht="15" customHeight="1">
      <c r="A35" s="91" t="s">
        <v>35</v>
      </c>
      <c r="B35" s="34">
        <v>2707564</v>
      </c>
      <c r="C35" s="34">
        <v>3046935</v>
      </c>
      <c r="D35" s="35" t="e">
        <f>#REF!</f>
        <v>#REF!</v>
      </c>
      <c r="E35" s="35">
        <f>'2013 PROFIT &amp; LOSSES'!N44</f>
        <v>329385.19</v>
      </c>
      <c r="F35" s="35" t="e">
        <f t="shared" si="2"/>
        <v>#REF!</v>
      </c>
      <c r="G35" s="21">
        <f t="shared" si="3"/>
        <v>0.10810377969992796</v>
      </c>
      <c r="H35" s="8"/>
      <c r="I35" s="9"/>
      <c r="J35" s="15"/>
    </row>
    <row r="36" spans="1:10" ht="15" customHeight="1">
      <c r="A36" s="20" t="s">
        <v>20</v>
      </c>
      <c r="B36" s="34">
        <v>9633492</v>
      </c>
      <c r="C36" s="34">
        <v>9514640</v>
      </c>
      <c r="D36" s="35" t="e">
        <f>#REF!</f>
        <v>#REF!</v>
      </c>
      <c r="E36" s="35">
        <f>'2013 PROFIT &amp; LOSSES'!N62</f>
        <v>1807479.96</v>
      </c>
      <c r="F36" s="35" t="e">
        <f t="shared" si="2"/>
        <v>#REF!</v>
      </c>
      <c r="G36" s="21">
        <f t="shared" si="3"/>
        <v>0.18996829727661793</v>
      </c>
      <c r="H36" s="8"/>
      <c r="I36" s="9"/>
      <c r="J36" s="15"/>
    </row>
    <row r="37" spans="1:10" ht="15" customHeight="1">
      <c r="A37" s="20" t="s">
        <v>21</v>
      </c>
      <c r="B37" s="34">
        <v>1429731</v>
      </c>
      <c r="C37" s="34">
        <v>1365971</v>
      </c>
      <c r="D37" s="35" t="e">
        <f>#REF!</f>
        <v>#REF!</v>
      </c>
      <c r="E37" s="35">
        <f>'2013 PROFIT &amp; LOSSES'!N66</f>
        <v>280461.09</v>
      </c>
      <c r="F37" s="35" t="e">
        <f t="shared" si="2"/>
        <v>#REF!</v>
      </c>
      <c r="G37" s="21">
        <f t="shared" si="3"/>
        <v>0.20531994456690517</v>
      </c>
      <c r="H37" s="8"/>
      <c r="I37" s="9"/>
      <c r="J37" s="15"/>
    </row>
    <row r="38" spans="1:10" ht="15" customHeight="1">
      <c r="A38" s="20" t="s">
        <v>22</v>
      </c>
      <c r="B38" s="34">
        <v>1735303</v>
      </c>
      <c r="C38" s="34">
        <v>1813531</v>
      </c>
      <c r="D38" s="35" t="e">
        <f>#REF!</f>
        <v>#REF!</v>
      </c>
      <c r="E38" s="35">
        <f>'2013 PROFIT &amp; LOSSES'!N70</f>
        <v>394171.71</v>
      </c>
      <c r="F38" s="35" t="e">
        <f t="shared" si="2"/>
        <v>#REF!</v>
      </c>
      <c r="G38" s="21">
        <f t="shared" si="3"/>
        <v>0.21735041198634047</v>
      </c>
      <c r="H38" s="8"/>
      <c r="I38" s="9"/>
      <c r="J38" s="16"/>
    </row>
    <row r="39" spans="1:10" ht="15" customHeight="1">
      <c r="A39" s="20" t="s">
        <v>23</v>
      </c>
      <c r="B39" s="34">
        <v>2709420</v>
      </c>
      <c r="C39" s="34">
        <v>3415000</v>
      </c>
      <c r="D39" s="35" t="e">
        <f>#REF!</f>
        <v>#REF!</v>
      </c>
      <c r="E39" s="35">
        <f>'2013 PROFIT &amp; LOSSES'!N74</f>
        <v>400621.5</v>
      </c>
      <c r="F39" s="35" t="e">
        <f t="shared" si="2"/>
        <v>#REF!</v>
      </c>
      <c r="G39" s="21">
        <f t="shared" si="3"/>
        <v>0.11731229868228404</v>
      </c>
      <c r="H39" s="8"/>
      <c r="I39" s="9"/>
      <c r="J39" s="16"/>
    </row>
    <row r="40" spans="1:9" ht="15" customHeight="1">
      <c r="A40" s="26" t="s">
        <v>24</v>
      </c>
      <c r="B40" s="36">
        <v>7000000</v>
      </c>
      <c r="C40" s="36">
        <v>1550000</v>
      </c>
      <c r="D40" s="37">
        <v>0</v>
      </c>
      <c r="E40" s="35">
        <v>0</v>
      </c>
      <c r="F40" s="35">
        <f t="shared" si="2"/>
        <v>0</v>
      </c>
      <c r="G40" s="28"/>
      <c r="H40" s="3"/>
      <c r="I40" s="7"/>
    </row>
    <row r="41" spans="1:9" ht="15" customHeight="1">
      <c r="A41" s="27"/>
      <c r="B41" s="38"/>
      <c r="C41" s="38"/>
      <c r="D41" s="39"/>
      <c r="E41" s="39"/>
      <c r="F41" s="39"/>
      <c r="G41" s="30"/>
      <c r="H41" s="3"/>
      <c r="I41" s="7"/>
    </row>
    <row r="42" spans="1:10" s="10" customFormat="1" ht="18" customHeight="1">
      <c r="A42" s="18" t="s">
        <v>27</v>
      </c>
      <c r="B42" s="40">
        <f>SUM(B27:B40)</f>
        <v>58013403</v>
      </c>
      <c r="C42" s="40">
        <f>SUM(C27:C40)</f>
        <v>52841725</v>
      </c>
      <c r="D42" s="41" t="e">
        <f>SUM(D27:D40)</f>
        <v>#REF!</v>
      </c>
      <c r="E42" s="41">
        <f>SUM(E27:E40)</f>
        <v>8890022.370000001</v>
      </c>
      <c r="F42" s="41" t="e">
        <f>SUM(F27:F40)</f>
        <v>#REF!</v>
      </c>
      <c r="G42" s="29">
        <f>E42/C42</f>
        <v>0.16823868581125997</v>
      </c>
      <c r="J42" s="16"/>
    </row>
    <row r="43" spans="2:6" ht="12.75">
      <c r="B43" s="46"/>
      <c r="C43" s="46"/>
      <c r="D43" s="46"/>
      <c r="E43" s="46"/>
      <c r="F43" s="46"/>
    </row>
    <row r="44" spans="2:6" ht="12.75">
      <c r="B44" s="46"/>
      <c r="C44" s="46"/>
      <c r="D44" s="46"/>
      <c r="E44" s="46"/>
      <c r="F44" s="46"/>
    </row>
    <row r="45" spans="2:6" ht="12.75">
      <c r="B45" s="46"/>
      <c r="C45" s="46"/>
      <c r="D45" s="46"/>
      <c r="E45" s="46"/>
      <c r="F45" s="46"/>
    </row>
    <row r="46" spans="2:6" ht="12.75">
      <c r="B46" s="46"/>
      <c r="C46" s="46"/>
      <c r="D46" s="46"/>
      <c r="E46" s="46"/>
      <c r="F46" s="46"/>
    </row>
    <row r="47" spans="2:6" ht="12.75">
      <c r="B47" s="46"/>
      <c r="C47" s="46"/>
      <c r="D47" s="46"/>
      <c r="E47" s="46"/>
      <c r="F47" s="46"/>
    </row>
    <row r="48" spans="2:6" ht="12.75">
      <c r="B48" s="46"/>
      <c r="C48" s="46"/>
      <c r="D48" s="46"/>
      <c r="E48" s="46"/>
      <c r="F48" s="46"/>
    </row>
    <row r="49" spans="2:8" ht="12.75">
      <c r="B49" s="46"/>
      <c r="C49" s="46"/>
      <c r="D49" s="46"/>
      <c r="E49" s="46"/>
      <c r="F49" s="46"/>
      <c r="H49" s="33"/>
    </row>
    <row r="50" spans="2:8" ht="12.75">
      <c r="B50" s="46"/>
      <c r="C50" s="46"/>
      <c r="D50" s="46"/>
      <c r="E50" s="46"/>
      <c r="F50" s="46"/>
      <c r="H50" s="33"/>
    </row>
    <row r="51" spans="2:8" ht="12.75">
      <c r="B51" s="46"/>
      <c r="C51" s="46"/>
      <c r="D51" s="46"/>
      <c r="E51" s="46"/>
      <c r="F51" s="46"/>
      <c r="H51" s="33"/>
    </row>
  </sheetData>
  <sheetProtection/>
  <mergeCells count="14">
    <mergeCell ref="A24:A26"/>
    <mergeCell ref="B24:B26"/>
    <mergeCell ref="C24:C26"/>
    <mergeCell ref="F24:F26"/>
    <mergeCell ref="G24:G26"/>
    <mergeCell ref="D25:D26"/>
    <mergeCell ref="E25:E26"/>
    <mergeCell ref="A1:A3"/>
    <mergeCell ref="B1:B3"/>
    <mergeCell ref="C1:C3"/>
    <mergeCell ref="F1:F3"/>
    <mergeCell ref="G1:G3"/>
    <mergeCell ref="D2:D3"/>
    <mergeCell ref="E2:E3"/>
  </mergeCells>
  <printOptions horizontalCentered="1" verticalCentered="1"/>
  <pageMargins left="0.5" right="0.5" top="1" bottom="0.5" header="0.25" footer="0.3"/>
  <pageSetup fitToHeight="1" fitToWidth="1" horizontalDpi="300" verticalDpi="300" orientation="landscape" scale="88" r:id="rId1"/>
  <headerFooter>
    <oddHeader>&amp;C&amp;"-,Bold"&amp;12Forest Preserve District of Cook County
Corporate Fund Analysis of Revenue and Expense
As of April 30, 2013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145" zoomScaleNormal="145" zoomScalePageLayoutView="0" workbookViewId="0" topLeftCell="A1">
      <selection activeCell="D39" sqref="D39"/>
    </sheetView>
  </sheetViews>
  <sheetFormatPr defaultColWidth="12.421875" defaultRowHeight="15"/>
  <cols>
    <col min="1" max="1" width="26.7109375" style="5" customWidth="1"/>
    <col min="2" max="3" width="13.7109375" style="5" customWidth="1"/>
    <col min="4" max="6" width="20.7109375" style="5" customWidth="1"/>
    <col min="7" max="7" width="14.28125" style="5" customWidth="1"/>
    <col min="8" max="8" width="14.421875" style="5" customWidth="1"/>
    <col min="9" max="10" width="15.28125" style="5" customWidth="1"/>
    <col min="11" max="11" width="13.57421875" style="5" customWidth="1"/>
    <col min="12" max="12" width="15.28125" style="5" customWidth="1"/>
    <col min="13" max="13" width="15.421875" style="5" customWidth="1"/>
    <col min="14" max="14" width="8.00390625" style="5" customWidth="1"/>
    <col min="15" max="15" width="18.57421875" style="5" customWidth="1"/>
    <col min="16" max="16" width="13.7109375" style="5" customWidth="1"/>
    <col min="17" max="18" width="12.421875" style="5" customWidth="1"/>
    <col min="19" max="19" width="11.57421875" style="5" customWidth="1"/>
    <col min="20" max="16384" width="12.421875" style="5" customWidth="1"/>
  </cols>
  <sheetData>
    <row r="1" spans="1:11" ht="15" customHeight="1">
      <c r="A1" s="108" t="s">
        <v>0</v>
      </c>
      <c r="B1" s="114" t="s">
        <v>34</v>
      </c>
      <c r="C1" s="114" t="s">
        <v>88</v>
      </c>
      <c r="D1" s="19">
        <v>40969</v>
      </c>
      <c r="E1" s="19">
        <v>41334</v>
      </c>
      <c r="F1" s="110" t="s">
        <v>28</v>
      </c>
      <c r="G1" s="112" t="s">
        <v>29</v>
      </c>
      <c r="H1" s="6"/>
      <c r="I1" s="6"/>
      <c r="J1" s="6"/>
      <c r="K1" s="6"/>
    </row>
    <row r="2" spans="1:11" ht="15" customHeight="1">
      <c r="A2" s="108"/>
      <c r="B2" s="115" t="s">
        <v>25</v>
      </c>
      <c r="C2" s="115" t="s">
        <v>25</v>
      </c>
      <c r="D2" s="110" t="s">
        <v>26</v>
      </c>
      <c r="E2" s="110" t="s">
        <v>26</v>
      </c>
      <c r="F2" s="110"/>
      <c r="G2" s="112"/>
      <c r="H2" s="11"/>
      <c r="I2" s="11"/>
      <c r="J2" s="6"/>
      <c r="K2" s="11"/>
    </row>
    <row r="3" spans="1:11" ht="15" customHeight="1">
      <c r="A3" s="108"/>
      <c r="B3" s="106"/>
      <c r="C3" s="106"/>
      <c r="D3" s="110"/>
      <c r="E3" s="110"/>
      <c r="F3" s="110"/>
      <c r="G3" s="112"/>
      <c r="H3" s="11"/>
      <c r="I3" s="11"/>
      <c r="J3" s="11"/>
      <c r="K3" s="11"/>
    </row>
    <row r="4" spans="1:11" ht="15" customHeight="1">
      <c r="A4" s="20" t="s">
        <v>30</v>
      </c>
      <c r="B4" s="34">
        <f>41363334-1568167</f>
        <v>39795167</v>
      </c>
      <c r="C4" s="34">
        <f>46708559-1401257</f>
        <v>45307302</v>
      </c>
      <c r="D4" s="35" t="e">
        <f>#REF!</f>
        <v>#REF!</v>
      </c>
      <c r="E4" s="35">
        <f>'2013 PROFIT &amp; LOSSES'!J5</f>
        <v>18546422.81</v>
      </c>
      <c r="F4" s="35" t="e">
        <f>E4-D4</f>
        <v>#REF!</v>
      </c>
      <c r="G4" s="42">
        <f>E4/C4</f>
        <v>0.40934732352855613</v>
      </c>
      <c r="H4" s="12"/>
      <c r="I4" s="12"/>
      <c r="J4" s="8"/>
      <c r="K4" s="12"/>
    </row>
    <row r="5" spans="1:11" ht="15" customHeight="1">
      <c r="A5" s="20" t="s">
        <v>31</v>
      </c>
      <c r="B5" s="34">
        <v>5200000</v>
      </c>
      <c r="C5" s="34">
        <v>834100</v>
      </c>
      <c r="D5" s="35" t="e">
        <f>#REF!</f>
        <v>#REF!</v>
      </c>
      <c r="E5" s="35">
        <f>'2013 PROFIT &amp; LOSSES'!J8</f>
        <v>209745.48</v>
      </c>
      <c r="F5" s="35" t="e">
        <f aca="true" t="shared" si="0" ref="F5:F19">E5-D5</f>
        <v>#REF!</v>
      </c>
      <c r="G5" s="42">
        <f aca="true" t="shared" si="1" ref="G5:G19">E5/C5</f>
        <v>0.25146322982855773</v>
      </c>
      <c r="H5" s="12"/>
      <c r="I5" s="32" t="s">
        <v>83</v>
      </c>
      <c r="J5" s="32" t="s">
        <v>84</v>
      </c>
      <c r="K5" s="12"/>
    </row>
    <row r="6" spans="1:11" ht="15" customHeight="1">
      <c r="A6" s="20" t="s">
        <v>1</v>
      </c>
      <c r="B6" s="34">
        <v>900000</v>
      </c>
      <c r="C6" s="34">
        <v>990000</v>
      </c>
      <c r="D6" s="35" t="e">
        <f>#REF!</f>
        <v>#REF!</v>
      </c>
      <c r="E6" s="35">
        <f>'2013 PROFIT &amp; LOSSES'!J11</f>
        <v>0</v>
      </c>
      <c r="F6" s="35" t="e">
        <f t="shared" si="0"/>
        <v>#REF!</v>
      </c>
      <c r="G6" s="42">
        <f t="shared" si="1"/>
        <v>0</v>
      </c>
      <c r="H6" s="12" t="s">
        <v>33</v>
      </c>
      <c r="I6" s="31">
        <v>191847</v>
      </c>
      <c r="J6" s="31">
        <v>528523.84</v>
      </c>
      <c r="K6" s="12"/>
    </row>
    <row r="7" spans="1:11" ht="15" customHeight="1">
      <c r="A7" s="20" t="s">
        <v>2</v>
      </c>
      <c r="B7" s="34">
        <v>150000</v>
      </c>
      <c r="C7" s="34">
        <v>200000</v>
      </c>
      <c r="D7" s="35" t="e">
        <f>#REF!</f>
        <v>#REF!</v>
      </c>
      <c r="E7" s="35">
        <f>'2013 PROFIT &amp; LOSSES'!J14</f>
        <v>30182.23</v>
      </c>
      <c r="F7" s="35" t="e">
        <f>E7-D7</f>
        <v>#REF!</v>
      </c>
      <c r="G7" s="42">
        <f t="shared" si="1"/>
        <v>0.15091115</v>
      </c>
      <c r="H7" s="12"/>
      <c r="I7" s="12"/>
      <c r="J7" s="8"/>
      <c r="K7" s="12"/>
    </row>
    <row r="8" spans="1:11" ht="15" customHeight="1">
      <c r="A8" s="20" t="s">
        <v>3</v>
      </c>
      <c r="B8" s="34">
        <v>1751670</v>
      </c>
      <c r="C8" s="34">
        <f>1165700+234300</f>
        <v>1400000</v>
      </c>
      <c r="D8" s="35" t="e">
        <f>#REF!</f>
        <v>#REF!</v>
      </c>
      <c r="E8" s="35">
        <f>'2013 PROFIT &amp; LOSSES'!J16</f>
        <v>664715.13</v>
      </c>
      <c r="F8" s="35" t="e">
        <f>E8-D8</f>
        <v>#REF!</v>
      </c>
      <c r="G8" s="42">
        <f t="shared" si="1"/>
        <v>0.4747965214285714</v>
      </c>
      <c r="H8" s="12"/>
      <c r="I8" s="12"/>
      <c r="J8" s="8"/>
      <c r="K8" s="12"/>
    </row>
    <row r="9" spans="1:11" ht="15" customHeight="1">
      <c r="A9" s="20" t="s">
        <v>4</v>
      </c>
      <c r="B9" s="34">
        <v>250000</v>
      </c>
      <c r="C9" s="34">
        <v>250000</v>
      </c>
      <c r="D9" s="35" t="e">
        <f>#REF!</f>
        <v>#REF!</v>
      </c>
      <c r="E9" s="35">
        <f>'2013 PROFIT &amp; LOSSES'!J15</f>
        <v>59560.87</v>
      </c>
      <c r="F9" s="35" t="e">
        <f t="shared" si="0"/>
        <v>#REF!</v>
      </c>
      <c r="G9" s="42">
        <f t="shared" si="1"/>
        <v>0.23824348</v>
      </c>
      <c r="H9" s="12"/>
      <c r="I9" s="12"/>
      <c r="J9" s="8"/>
      <c r="K9" s="12"/>
    </row>
    <row r="10" spans="1:12" ht="15" customHeight="1">
      <c r="A10" s="20" t="s">
        <v>5</v>
      </c>
      <c r="B10" s="34">
        <v>25000</v>
      </c>
      <c r="C10" s="34">
        <v>15000</v>
      </c>
      <c r="D10" s="35" t="e">
        <f>#REF!</f>
        <v>#REF!</v>
      </c>
      <c r="E10" s="35">
        <f>'2013 PROFIT &amp; LOSSES'!J17</f>
        <v>4975</v>
      </c>
      <c r="F10" s="35" t="e">
        <f t="shared" si="0"/>
        <v>#REF!</v>
      </c>
      <c r="G10" s="42">
        <f t="shared" si="1"/>
        <v>0.33166666666666667</v>
      </c>
      <c r="H10" s="12"/>
      <c r="I10" s="12"/>
      <c r="J10" s="8"/>
      <c r="K10" s="12"/>
      <c r="L10" s="4"/>
    </row>
    <row r="11" spans="1:11" ht="15" customHeight="1">
      <c r="A11" s="20" t="s">
        <v>6</v>
      </c>
      <c r="B11" s="34">
        <v>35000</v>
      </c>
      <c r="C11" s="34">
        <v>40000</v>
      </c>
      <c r="D11" s="35" t="e">
        <f>#REF!</f>
        <v>#REF!</v>
      </c>
      <c r="E11" s="35">
        <f>'2013 PROFIT &amp; LOSSES'!J19</f>
        <v>937</v>
      </c>
      <c r="F11" s="35" t="e">
        <f t="shared" si="0"/>
        <v>#REF!</v>
      </c>
      <c r="G11" s="42">
        <f t="shared" si="1"/>
        <v>0.023425</v>
      </c>
      <c r="H11" s="12"/>
      <c r="I11" s="12"/>
      <c r="J11" s="8"/>
      <c r="K11" s="12"/>
    </row>
    <row r="12" spans="1:11" ht="15" customHeight="1">
      <c r="A12" s="20" t="s">
        <v>7</v>
      </c>
      <c r="B12" s="34">
        <v>50000</v>
      </c>
      <c r="C12" s="34">
        <v>100000</v>
      </c>
      <c r="D12" s="35" t="e">
        <f>#REF!</f>
        <v>#REF!</v>
      </c>
      <c r="E12" s="35">
        <f>'2013 PROFIT &amp; LOSSES'!J20</f>
        <v>37910.66</v>
      </c>
      <c r="F12" s="35" t="e">
        <f t="shared" si="0"/>
        <v>#REF!</v>
      </c>
      <c r="G12" s="42">
        <f t="shared" si="1"/>
        <v>0.3791066</v>
      </c>
      <c r="H12" s="12" t="s">
        <v>32</v>
      </c>
      <c r="I12" s="12"/>
      <c r="J12" s="8"/>
      <c r="K12" s="12"/>
    </row>
    <row r="13" spans="1:12" ht="15" customHeight="1">
      <c r="A13" s="20" t="s">
        <v>8</v>
      </c>
      <c r="B13" s="34">
        <v>850000</v>
      </c>
      <c r="C13" s="34">
        <v>890000</v>
      </c>
      <c r="D13" s="35" t="e">
        <f>#REF!</f>
        <v>#REF!</v>
      </c>
      <c r="E13" s="35">
        <f>'2013 PROFIT &amp; LOSSES'!J12</f>
        <v>362311.75</v>
      </c>
      <c r="F13" s="35" t="e">
        <f t="shared" si="0"/>
        <v>#REF!</v>
      </c>
      <c r="G13" s="42">
        <f t="shared" si="1"/>
        <v>0.4070918539325843</v>
      </c>
      <c r="H13" s="12"/>
      <c r="I13" s="12"/>
      <c r="J13" s="8"/>
      <c r="K13" s="12"/>
      <c r="L13" s="4"/>
    </row>
    <row r="14" spans="1:11" ht="15" customHeight="1">
      <c r="A14" s="20" t="s">
        <v>9</v>
      </c>
      <c r="B14" s="34">
        <v>250000</v>
      </c>
      <c r="C14" s="34">
        <v>400000</v>
      </c>
      <c r="D14" s="35" t="e">
        <f>#REF!</f>
        <v>#REF!</v>
      </c>
      <c r="E14" s="35">
        <f>'2013 PROFIT &amp; LOSSES'!J13</f>
        <v>0</v>
      </c>
      <c r="F14" s="35" t="e">
        <f t="shared" si="0"/>
        <v>#REF!</v>
      </c>
      <c r="G14" s="42">
        <f t="shared" si="1"/>
        <v>0</v>
      </c>
      <c r="H14" s="12"/>
      <c r="I14" s="12"/>
      <c r="J14" s="8"/>
      <c r="K14" s="12"/>
    </row>
    <row r="15" spans="1:11" ht="15" customHeight="1">
      <c r="A15" s="20" t="s">
        <v>10</v>
      </c>
      <c r="B15" s="34">
        <v>175000</v>
      </c>
      <c r="C15" s="34">
        <v>320000</v>
      </c>
      <c r="D15" s="35" t="e">
        <f>#REF!</f>
        <v>#REF!</v>
      </c>
      <c r="E15" s="35">
        <f>'2013 PROFIT &amp; LOSSES'!J18</f>
        <v>71502.62</v>
      </c>
      <c r="F15" s="35" t="e">
        <f t="shared" si="0"/>
        <v>#REF!</v>
      </c>
      <c r="G15" s="42">
        <f t="shared" si="1"/>
        <v>0.2234456875</v>
      </c>
      <c r="H15" s="12"/>
      <c r="I15" s="12"/>
      <c r="J15" s="8"/>
      <c r="K15" s="12"/>
    </row>
    <row r="16" spans="1:11" ht="12.75">
      <c r="A16" s="20" t="s">
        <v>11</v>
      </c>
      <c r="B16" s="34">
        <v>50000</v>
      </c>
      <c r="C16" s="34">
        <v>150000</v>
      </c>
      <c r="D16" s="35" t="e">
        <f>#REF!</f>
        <v>#REF!</v>
      </c>
      <c r="E16" s="35">
        <f>'2013 PROFIT &amp; LOSSES'!J21</f>
        <v>6568.81</v>
      </c>
      <c r="F16" s="35" t="e">
        <f t="shared" si="0"/>
        <v>#REF!</v>
      </c>
      <c r="G16" s="42">
        <f t="shared" si="1"/>
        <v>0.04379206666666667</v>
      </c>
      <c r="H16" s="12"/>
      <c r="I16" s="12"/>
      <c r="J16" s="8"/>
      <c r="K16" s="12"/>
    </row>
    <row r="17" spans="1:11" ht="15" customHeight="1" hidden="1">
      <c r="A17" s="20" t="s">
        <v>12</v>
      </c>
      <c r="B17" s="34"/>
      <c r="C17" s="34"/>
      <c r="D17" s="35" t="e">
        <f>#REF!</f>
        <v>#REF!</v>
      </c>
      <c r="E17" s="35">
        <v>0</v>
      </c>
      <c r="F17" s="35" t="e">
        <f t="shared" si="0"/>
        <v>#REF!</v>
      </c>
      <c r="G17" s="42" t="e">
        <f t="shared" si="1"/>
        <v>#DIV/0!</v>
      </c>
      <c r="H17" s="12"/>
      <c r="I17" s="12"/>
      <c r="J17" s="8"/>
      <c r="K17" s="12"/>
    </row>
    <row r="18" spans="1:11" ht="12.75" customHeight="1" hidden="1">
      <c r="A18" s="20"/>
      <c r="B18" s="34"/>
      <c r="C18" s="34"/>
      <c r="D18" s="35" t="e">
        <f>#REF!</f>
        <v>#REF!</v>
      </c>
      <c r="E18" s="35">
        <v>0</v>
      </c>
      <c r="F18" s="35" t="e">
        <f t="shared" si="0"/>
        <v>#REF!</v>
      </c>
      <c r="G18" s="42" t="e">
        <f t="shared" si="1"/>
        <v>#DIV/0!</v>
      </c>
      <c r="H18" s="2"/>
      <c r="I18" s="2"/>
      <c r="J18" s="3"/>
      <c r="K18" s="2"/>
    </row>
    <row r="19" spans="1:11" ht="15" customHeight="1">
      <c r="A19" s="26" t="s">
        <v>13</v>
      </c>
      <c r="B19" s="36">
        <v>8531566</v>
      </c>
      <c r="C19" s="36">
        <v>1945323</v>
      </c>
      <c r="D19" s="35">
        <v>0</v>
      </c>
      <c r="E19" s="37">
        <v>0</v>
      </c>
      <c r="F19" s="37">
        <f t="shared" si="0"/>
        <v>0</v>
      </c>
      <c r="G19" s="43">
        <f t="shared" si="1"/>
        <v>0</v>
      </c>
      <c r="H19" s="12"/>
      <c r="I19" s="12"/>
      <c r="J19" s="8"/>
      <c r="K19" s="12"/>
    </row>
    <row r="20" spans="1:11" ht="15" customHeight="1">
      <c r="A20" s="27"/>
      <c r="B20" s="38"/>
      <c r="C20" s="38"/>
      <c r="D20" s="39"/>
      <c r="E20" s="39"/>
      <c r="F20" s="39"/>
      <c r="G20" s="44"/>
      <c r="H20" s="12"/>
      <c r="I20" s="12"/>
      <c r="J20" s="8"/>
      <c r="K20" s="12"/>
    </row>
    <row r="21" spans="1:14" s="10" customFormat="1" ht="18" customHeight="1">
      <c r="A21" s="18" t="s">
        <v>27</v>
      </c>
      <c r="B21" s="40">
        <f>SUM(B4:B19)</f>
        <v>58013403</v>
      </c>
      <c r="C21" s="40">
        <f>SUM(C4:C19)</f>
        <v>52841725</v>
      </c>
      <c r="D21" s="41" t="e">
        <f>D19+D16+D15+D14+D13+D12+D11+D10+D9+D8+D7+D6+D5+D4</f>
        <v>#REF!</v>
      </c>
      <c r="E21" s="41">
        <f>SUM(E4:E19)</f>
        <v>19994832.36</v>
      </c>
      <c r="F21" s="41" t="e">
        <f>SUM(F4:F19)</f>
        <v>#REF!</v>
      </c>
      <c r="G21" s="45">
        <f>E21/C21</f>
        <v>0.37839098477576194</v>
      </c>
      <c r="H21" s="12"/>
      <c r="I21" s="12">
        <f>E21-1316123</f>
        <v>18678709.36</v>
      </c>
      <c r="J21" s="8"/>
      <c r="K21" s="12"/>
      <c r="L21" s="8"/>
      <c r="N21" s="17"/>
    </row>
    <row r="22" spans="1:11" ht="12" customHeight="1">
      <c r="A22" s="1"/>
      <c r="B22" s="4"/>
      <c r="C22" s="4"/>
      <c r="D22" s="4"/>
      <c r="E22" s="4"/>
      <c r="F22" s="13"/>
      <c r="G22" s="13"/>
      <c r="H22" s="2"/>
      <c r="I22" s="2"/>
      <c r="J22" s="3"/>
      <c r="K22" s="2"/>
    </row>
    <row r="23" spans="1:10" ht="12" customHeight="1">
      <c r="A23" s="22"/>
      <c r="B23" s="23"/>
      <c r="C23" s="22"/>
      <c r="D23" s="92"/>
      <c r="E23" s="23"/>
      <c r="F23" s="24"/>
      <c r="G23" s="25"/>
      <c r="H23" s="14"/>
      <c r="I23" s="14"/>
      <c r="J23" s="14"/>
    </row>
    <row r="24" spans="1:9" ht="15" customHeight="1">
      <c r="A24" s="106" t="s">
        <v>14</v>
      </c>
      <c r="B24" s="106" t="s">
        <v>34</v>
      </c>
      <c r="C24" s="106" t="s">
        <v>88</v>
      </c>
      <c r="D24" s="19">
        <v>40969</v>
      </c>
      <c r="E24" s="19">
        <v>41334</v>
      </c>
      <c r="F24" s="109" t="s">
        <v>28</v>
      </c>
      <c r="G24" s="111" t="s">
        <v>29</v>
      </c>
      <c r="H24" s="6"/>
      <c r="I24" s="6"/>
    </row>
    <row r="25" spans="1:9" ht="15" customHeight="1">
      <c r="A25" s="107"/>
      <c r="B25" s="108"/>
      <c r="C25" s="108"/>
      <c r="D25" s="113" t="s">
        <v>26</v>
      </c>
      <c r="E25" s="110" t="s">
        <v>26</v>
      </c>
      <c r="F25" s="110"/>
      <c r="G25" s="112"/>
      <c r="H25" s="90" t="e">
        <f>D21-40233832</f>
        <v>#REF!</v>
      </c>
      <c r="I25" s="11"/>
    </row>
    <row r="26" spans="1:10" ht="15" customHeight="1">
      <c r="A26" s="107"/>
      <c r="B26" s="108"/>
      <c r="C26" s="108"/>
      <c r="D26" s="109"/>
      <c r="E26" s="110"/>
      <c r="F26" s="110"/>
      <c r="G26" s="112"/>
      <c r="H26" s="11"/>
      <c r="I26" s="11"/>
      <c r="J26" s="15"/>
    </row>
    <row r="27" spans="1:10" ht="15" customHeight="1">
      <c r="A27" s="20" t="s">
        <v>15</v>
      </c>
      <c r="B27" s="34">
        <v>2100290</v>
      </c>
      <c r="C27" s="34">
        <v>1884258</v>
      </c>
      <c r="D27" s="35" t="e">
        <f>#REF!</f>
        <v>#REF!</v>
      </c>
      <c r="E27" s="35">
        <f>'2013 PROFIT &amp; LOSSES'!J28</f>
        <v>287280.43</v>
      </c>
      <c r="F27" s="35" t="e">
        <f aca="true" t="shared" si="2" ref="F27:F40">E27-D27</f>
        <v>#REF!</v>
      </c>
      <c r="G27" s="21">
        <f>E27/C27</f>
        <v>0.1524634259215033</v>
      </c>
      <c r="H27" s="8"/>
      <c r="I27" s="12"/>
      <c r="J27" s="15"/>
    </row>
    <row r="28" spans="1:10" ht="15" customHeight="1">
      <c r="A28" s="20" t="s">
        <v>16</v>
      </c>
      <c r="B28" s="34">
        <v>1787221</v>
      </c>
      <c r="C28" s="34">
        <v>2054581</v>
      </c>
      <c r="D28" s="35" t="e">
        <f>#REF!</f>
        <v>#REF!</v>
      </c>
      <c r="E28" s="35">
        <f>'2013 PROFIT &amp; LOSSES'!J32</f>
        <v>255638.78</v>
      </c>
      <c r="F28" s="35" t="e">
        <f>E28-D28</f>
        <v>#REF!</v>
      </c>
      <c r="G28" s="21">
        <f aca="true" t="shared" si="3" ref="G28:G40">E28/C28</f>
        <v>0.12442380222536858</v>
      </c>
      <c r="H28" s="8"/>
      <c r="I28" s="9"/>
      <c r="J28" s="15"/>
    </row>
    <row r="29" spans="1:10" ht="15" customHeight="1">
      <c r="A29" s="20" t="s">
        <v>87</v>
      </c>
      <c r="B29" s="34">
        <v>696162</v>
      </c>
      <c r="C29" s="34">
        <v>585246</v>
      </c>
      <c r="D29" s="35" t="e">
        <f>#REF!</f>
        <v>#REF!</v>
      </c>
      <c r="E29" s="35">
        <f>'2013 PROFIT &amp; LOSSES'!J36</f>
        <v>78966.97</v>
      </c>
      <c r="F29" s="35" t="e">
        <f t="shared" si="2"/>
        <v>#REF!</v>
      </c>
      <c r="G29" s="21">
        <f t="shared" si="3"/>
        <v>0.13492953390540047</v>
      </c>
      <c r="H29" s="8"/>
      <c r="I29" s="9"/>
      <c r="J29" s="15"/>
    </row>
    <row r="30" spans="1:10" ht="15" customHeight="1">
      <c r="A30" s="20" t="s">
        <v>17</v>
      </c>
      <c r="B30" s="34">
        <v>7986645</v>
      </c>
      <c r="C30" s="34">
        <v>7653505</v>
      </c>
      <c r="D30" s="35" t="e">
        <f>#REF!</f>
        <v>#REF!</v>
      </c>
      <c r="E30" s="35">
        <f>'2013 PROFIT &amp; LOSSES'!J40</f>
        <v>1159391.11</v>
      </c>
      <c r="F30" s="35" t="e">
        <f t="shared" si="2"/>
        <v>#REF!</v>
      </c>
      <c r="G30" s="21">
        <f t="shared" si="3"/>
        <v>0.15148498759718587</v>
      </c>
      <c r="H30" s="8"/>
      <c r="I30" s="9"/>
      <c r="J30" s="15"/>
    </row>
    <row r="31" spans="1:10" ht="15" customHeight="1">
      <c r="A31" s="20" t="s">
        <v>18</v>
      </c>
      <c r="B31" s="34">
        <v>20027575</v>
      </c>
      <c r="C31" s="34">
        <v>0</v>
      </c>
      <c r="D31" s="35" t="e">
        <f>#REF!</f>
        <v>#REF!</v>
      </c>
      <c r="E31" s="35">
        <v>0</v>
      </c>
      <c r="F31" s="35" t="e">
        <f t="shared" si="2"/>
        <v>#REF!</v>
      </c>
      <c r="G31" s="21">
        <v>0</v>
      </c>
      <c r="H31" s="8"/>
      <c r="I31" s="9"/>
      <c r="J31" s="15"/>
    </row>
    <row r="32" spans="1:10" ht="15" customHeight="1">
      <c r="A32" s="20" t="s">
        <v>93</v>
      </c>
      <c r="B32" s="34">
        <v>0</v>
      </c>
      <c r="C32" s="34">
        <v>10504913</v>
      </c>
      <c r="D32" s="35">
        <v>0</v>
      </c>
      <c r="E32" s="35">
        <f>'2013 PROFIT &amp; LOSSES'!J48</f>
        <v>1114570.02</v>
      </c>
      <c r="F32" s="35"/>
      <c r="G32" s="21">
        <f>E32/C32</f>
        <v>0.10609988107469334</v>
      </c>
      <c r="H32" s="8"/>
      <c r="I32" s="9"/>
      <c r="J32" s="15"/>
    </row>
    <row r="33" spans="1:10" ht="15" customHeight="1">
      <c r="A33" s="20" t="s">
        <v>94</v>
      </c>
      <c r="B33" s="34">
        <v>0</v>
      </c>
      <c r="C33" s="34">
        <f>8611145+592000</f>
        <v>9203145</v>
      </c>
      <c r="D33" s="35">
        <v>0</v>
      </c>
      <c r="E33" s="35">
        <f>'2013 PROFIT &amp; LOSSES'!J52+'2013 PROFIT &amp; LOSSES'!J56</f>
        <v>1037077.7300000001</v>
      </c>
      <c r="F33" s="35"/>
      <c r="G33" s="21">
        <f>E33/C33</f>
        <v>0.11268731830260201</v>
      </c>
      <c r="H33" s="8"/>
      <c r="I33" s="9"/>
      <c r="J33" s="15"/>
    </row>
    <row r="34" spans="1:10" ht="15" customHeight="1">
      <c r="A34" s="20" t="s">
        <v>19</v>
      </c>
      <c r="B34" s="34">
        <v>200000</v>
      </c>
      <c r="C34" s="34">
        <v>250000</v>
      </c>
      <c r="D34" s="35" t="e">
        <f>#REF!</f>
        <v>#REF!</v>
      </c>
      <c r="E34" s="35">
        <f>'2013 PROFIT &amp; LOSSES'!J60</f>
        <v>950</v>
      </c>
      <c r="F34" s="35" t="e">
        <f t="shared" si="2"/>
        <v>#REF!</v>
      </c>
      <c r="G34" s="21">
        <f t="shared" si="3"/>
        <v>0.0038</v>
      </c>
      <c r="H34" s="8"/>
      <c r="I34" s="9"/>
      <c r="J34" s="15"/>
    </row>
    <row r="35" spans="1:10" ht="15" customHeight="1">
      <c r="A35" s="91" t="s">
        <v>35</v>
      </c>
      <c r="B35" s="34">
        <v>2707564</v>
      </c>
      <c r="C35" s="34">
        <v>3046935</v>
      </c>
      <c r="D35" s="35" t="e">
        <f>#REF!</f>
        <v>#REF!</v>
      </c>
      <c r="E35" s="35">
        <f>'2013 PROFIT &amp; LOSSES'!J44</f>
        <v>209036.56</v>
      </c>
      <c r="F35" s="35" t="e">
        <f t="shared" si="2"/>
        <v>#REF!</v>
      </c>
      <c r="G35" s="21">
        <f t="shared" si="3"/>
        <v>0.06860551997335027</v>
      </c>
      <c r="H35" s="8"/>
      <c r="I35" s="9"/>
      <c r="J35" s="15"/>
    </row>
    <row r="36" spans="1:10" ht="15" customHeight="1">
      <c r="A36" s="20" t="s">
        <v>20</v>
      </c>
      <c r="B36" s="34">
        <v>9633492</v>
      </c>
      <c r="C36" s="34">
        <v>9514640</v>
      </c>
      <c r="D36" s="35" t="e">
        <f>#REF!</f>
        <v>#REF!</v>
      </c>
      <c r="E36" s="35">
        <f>'2013 PROFIT &amp; LOSSES'!J62</f>
        <v>1364658.8</v>
      </c>
      <c r="F36" s="35" t="e">
        <f t="shared" si="2"/>
        <v>#REF!</v>
      </c>
      <c r="G36" s="21">
        <f t="shared" si="3"/>
        <v>0.1434272657714848</v>
      </c>
      <c r="H36" s="8"/>
      <c r="I36" s="9"/>
      <c r="J36" s="15"/>
    </row>
    <row r="37" spans="1:10" ht="15" customHeight="1">
      <c r="A37" s="20" t="s">
        <v>21</v>
      </c>
      <c r="B37" s="34">
        <v>1429731</v>
      </c>
      <c r="C37" s="34">
        <v>1365971</v>
      </c>
      <c r="D37" s="35" t="e">
        <f>#REF!</f>
        <v>#REF!</v>
      </c>
      <c r="E37" s="35">
        <f>'2013 PROFIT &amp; LOSSES'!J66</f>
        <v>204235.47</v>
      </c>
      <c r="F37" s="35" t="e">
        <f t="shared" si="2"/>
        <v>#REF!</v>
      </c>
      <c r="G37" s="21">
        <f t="shared" si="3"/>
        <v>0.14951669544961058</v>
      </c>
      <c r="H37" s="8"/>
      <c r="I37" s="9"/>
      <c r="J37" s="15"/>
    </row>
    <row r="38" spans="1:10" ht="15" customHeight="1">
      <c r="A38" s="20" t="s">
        <v>22</v>
      </c>
      <c r="B38" s="34">
        <v>1735303</v>
      </c>
      <c r="C38" s="34">
        <v>1813531</v>
      </c>
      <c r="D38" s="35" t="e">
        <f>#REF!</f>
        <v>#REF!</v>
      </c>
      <c r="E38" s="35">
        <f>'2013 PROFIT &amp; LOSSES'!J70</f>
        <v>290905.9</v>
      </c>
      <c r="F38" s="35" t="e">
        <f t="shared" si="2"/>
        <v>#REF!</v>
      </c>
      <c r="G38" s="21">
        <f t="shared" si="3"/>
        <v>0.16040856208137608</v>
      </c>
      <c r="H38" s="8"/>
      <c r="I38" s="9"/>
      <c r="J38" s="16"/>
    </row>
    <row r="39" spans="1:10" ht="15" customHeight="1">
      <c r="A39" s="20" t="s">
        <v>23</v>
      </c>
      <c r="B39" s="34">
        <v>2709420</v>
      </c>
      <c r="C39" s="34">
        <v>3415000</v>
      </c>
      <c r="D39" s="35" t="e">
        <f>#REF!</f>
        <v>#REF!</v>
      </c>
      <c r="E39" s="35">
        <f>'2013 PROFIT &amp; LOSSES'!J74</f>
        <v>269550.03</v>
      </c>
      <c r="F39" s="35" t="e">
        <f t="shared" si="2"/>
        <v>#REF!</v>
      </c>
      <c r="G39" s="21">
        <f t="shared" si="3"/>
        <v>0.07893119472913618</v>
      </c>
      <c r="H39" s="8"/>
      <c r="I39" s="9"/>
      <c r="J39" s="16"/>
    </row>
    <row r="40" spans="1:9" ht="15" customHeight="1">
      <c r="A40" s="26" t="s">
        <v>24</v>
      </c>
      <c r="B40" s="36">
        <v>7000000</v>
      </c>
      <c r="C40" s="36">
        <v>1550000</v>
      </c>
      <c r="D40" s="37">
        <v>0</v>
      </c>
      <c r="E40" s="35">
        <v>0</v>
      </c>
      <c r="F40" s="35">
        <f t="shared" si="2"/>
        <v>0</v>
      </c>
      <c r="G40" s="28">
        <f t="shared" si="3"/>
        <v>0</v>
      </c>
      <c r="H40" s="3"/>
      <c r="I40" s="7"/>
    </row>
    <row r="41" spans="1:9" ht="15" customHeight="1">
      <c r="A41" s="27"/>
      <c r="B41" s="38"/>
      <c r="C41" s="38"/>
      <c r="D41" s="39"/>
      <c r="E41" s="39"/>
      <c r="F41" s="39"/>
      <c r="G41" s="30"/>
      <c r="H41" s="3"/>
      <c r="I41" s="7"/>
    </row>
    <row r="42" spans="1:10" s="10" customFormat="1" ht="18" customHeight="1">
      <c r="A42" s="18" t="s">
        <v>27</v>
      </c>
      <c r="B42" s="40">
        <f>SUM(B27:B40)</f>
        <v>58013403</v>
      </c>
      <c r="C42" s="40">
        <f>SUM(C27:C40)</f>
        <v>52841725</v>
      </c>
      <c r="D42" s="41" t="e">
        <f>SUM(D27:D40)</f>
        <v>#REF!</v>
      </c>
      <c r="E42" s="41">
        <f>SUM(E27:E40)</f>
        <v>6272261.800000001</v>
      </c>
      <c r="F42" s="41" t="e">
        <f>SUM(F27:F40)</f>
        <v>#REF!</v>
      </c>
      <c r="G42" s="29">
        <f>E42/C42</f>
        <v>0.11869903565790103</v>
      </c>
      <c r="J42" s="16"/>
    </row>
    <row r="43" spans="2:6" ht="12.75">
      <c r="B43" s="46"/>
      <c r="C43" s="46"/>
      <c r="D43" s="46"/>
      <c r="E43" s="46"/>
      <c r="F43" s="46"/>
    </row>
    <row r="44" spans="2:6" ht="12.75">
      <c r="B44" s="46"/>
      <c r="C44" s="46"/>
      <c r="D44" s="46"/>
      <c r="E44" s="46"/>
      <c r="F44" s="46"/>
    </row>
    <row r="45" spans="2:6" ht="12.75">
      <c r="B45" s="46"/>
      <c r="C45" s="46"/>
      <c r="D45" s="46"/>
      <c r="E45" s="46"/>
      <c r="F45" s="46"/>
    </row>
    <row r="46" spans="2:6" ht="12.75">
      <c r="B46" s="46"/>
      <c r="C46" s="46"/>
      <c r="D46" s="46"/>
      <c r="E46" s="46"/>
      <c r="F46" s="46"/>
    </row>
    <row r="47" spans="2:6" ht="12.75">
      <c r="B47" s="46"/>
      <c r="C47" s="46"/>
      <c r="D47" s="46"/>
      <c r="E47" s="46"/>
      <c r="F47" s="46"/>
    </row>
    <row r="48" spans="2:6" ht="12.75">
      <c r="B48" s="46"/>
      <c r="C48" s="46"/>
      <c r="D48" s="46"/>
      <c r="E48" s="46"/>
      <c r="F48" s="46"/>
    </row>
    <row r="49" spans="2:8" ht="12.75">
      <c r="B49" s="46"/>
      <c r="C49" s="46"/>
      <c r="D49" s="46"/>
      <c r="E49" s="46"/>
      <c r="F49" s="46"/>
      <c r="H49" s="33"/>
    </row>
    <row r="50" spans="2:8" ht="12.75">
      <c r="B50" s="46"/>
      <c r="C50" s="46"/>
      <c r="D50" s="46"/>
      <c r="E50" s="46"/>
      <c r="F50" s="46"/>
      <c r="H50" s="33"/>
    </row>
    <row r="51" spans="2:8" ht="12.75">
      <c r="B51" s="46"/>
      <c r="C51" s="46"/>
      <c r="D51" s="46"/>
      <c r="E51" s="46"/>
      <c r="F51" s="46"/>
      <c r="H51" s="33"/>
    </row>
  </sheetData>
  <sheetProtection/>
  <mergeCells count="14">
    <mergeCell ref="A1:A3"/>
    <mergeCell ref="B1:B3"/>
    <mergeCell ref="C1:C3"/>
    <mergeCell ref="F1:F3"/>
    <mergeCell ref="G1:G3"/>
    <mergeCell ref="D2:D3"/>
    <mergeCell ref="E2:E3"/>
    <mergeCell ref="A24:A26"/>
    <mergeCell ref="B24:B26"/>
    <mergeCell ref="C24:C26"/>
    <mergeCell ref="F24:F26"/>
    <mergeCell ref="G24:G26"/>
    <mergeCell ref="D25:D26"/>
    <mergeCell ref="E25:E26"/>
  </mergeCells>
  <printOptions horizontalCentered="1" verticalCentered="1"/>
  <pageMargins left="0.5" right="0.5" top="1" bottom="0.5" header="0.25" footer="0.3"/>
  <pageSetup fitToHeight="1" fitToWidth="1" horizontalDpi="300" verticalDpi="300" orientation="landscape" scale="88" r:id="rId1"/>
  <headerFooter>
    <oddHeader>&amp;C&amp;"-,Bold"&amp;12Forest Preserve District of Cook County
Corporate Fund Analysis of Revenue and Expense
As of March 31, 2013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145" zoomScaleNormal="145" zoomScalePageLayoutView="0" workbookViewId="0" topLeftCell="A22">
      <selection activeCell="D32" sqref="D32"/>
    </sheetView>
  </sheetViews>
  <sheetFormatPr defaultColWidth="12.421875" defaultRowHeight="15"/>
  <cols>
    <col min="1" max="1" width="26.7109375" style="5" customWidth="1"/>
    <col min="2" max="3" width="13.7109375" style="5" customWidth="1"/>
    <col min="4" max="6" width="20.7109375" style="5" customWidth="1"/>
    <col min="7" max="7" width="14.28125" style="5" customWidth="1"/>
    <col min="8" max="8" width="14.421875" style="5" customWidth="1"/>
    <col min="9" max="10" width="15.28125" style="5" customWidth="1"/>
    <col min="11" max="11" width="13.57421875" style="5" customWidth="1"/>
    <col min="12" max="12" width="15.28125" style="5" customWidth="1"/>
    <col min="13" max="13" width="15.421875" style="5" customWidth="1"/>
    <col min="14" max="14" width="8.00390625" style="5" customWidth="1"/>
    <col min="15" max="15" width="18.57421875" style="5" customWidth="1"/>
    <col min="16" max="16" width="13.7109375" style="5" customWidth="1"/>
    <col min="17" max="18" width="12.421875" style="5" customWidth="1"/>
    <col min="19" max="19" width="11.57421875" style="5" customWidth="1"/>
    <col min="20" max="16384" width="12.421875" style="5" customWidth="1"/>
  </cols>
  <sheetData>
    <row r="1" spans="1:11" ht="15" customHeight="1">
      <c r="A1" s="108" t="s">
        <v>0</v>
      </c>
      <c r="B1" s="114" t="s">
        <v>34</v>
      </c>
      <c r="C1" s="114" t="s">
        <v>88</v>
      </c>
      <c r="D1" s="19">
        <v>40940</v>
      </c>
      <c r="E1" s="19">
        <v>41306</v>
      </c>
      <c r="F1" s="110" t="s">
        <v>28</v>
      </c>
      <c r="G1" s="112" t="s">
        <v>29</v>
      </c>
      <c r="H1" s="6"/>
      <c r="I1" s="6"/>
      <c r="J1" s="6"/>
      <c r="K1" s="6"/>
    </row>
    <row r="2" spans="1:11" ht="15" customHeight="1">
      <c r="A2" s="108"/>
      <c r="B2" s="115" t="s">
        <v>25</v>
      </c>
      <c r="C2" s="115" t="s">
        <v>25</v>
      </c>
      <c r="D2" s="110" t="s">
        <v>26</v>
      </c>
      <c r="E2" s="110" t="s">
        <v>26</v>
      </c>
      <c r="F2" s="110"/>
      <c r="G2" s="112"/>
      <c r="H2" s="11"/>
      <c r="I2" s="11"/>
      <c r="J2" s="6"/>
      <c r="K2" s="11"/>
    </row>
    <row r="3" spans="1:11" ht="15" customHeight="1">
      <c r="A3" s="108"/>
      <c r="B3" s="106"/>
      <c r="C3" s="106"/>
      <c r="D3" s="110"/>
      <c r="E3" s="110"/>
      <c r="F3" s="110"/>
      <c r="G3" s="112"/>
      <c r="H3" s="11"/>
      <c r="I3" s="11"/>
      <c r="J3" s="11"/>
      <c r="K3" s="11"/>
    </row>
    <row r="4" spans="1:11" ht="15" customHeight="1">
      <c r="A4" s="20" t="s">
        <v>30</v>
      </c>
      <c r="B4" s="34">
        <f>41363334-1568167</f>
        <v>39795167</v>
      </c>
      <c r="C4" s="34">
        <f>46708559-1401257</f>
        <v>45307302</v>
      </c>
      <c r="D4" s="35" t="e">
        <f>#REF!</f>
        <v>#REF!</v>
      </c>
      <c r="E4" s="35">
        <f>'2013 PROFIT &amp; LOSSES'!F5</f>
        <v>4846787.74</v>
      </c>
      <c r="F4" s="35" t="e">
        <f>E4-D4</f>
        <v>#REF!</v>
      </c>
      <c r="G4" s="42">
        <f>E4/C4</f>
        <v>0.10697586318426112</v>
      </c>
      <c r="H4" s="12"/>
      <c r="I4" s="12"/>
      <c r="J4" s="8"/>
      <c r="K4" s="12"/>
    </row>
    <row r="5" spans="1:11" ht="15" customHeight="1">
      <c r="A5" s="20" t="s">
        <v>31</v>
      </c>
      <c r="B5" s="34">
        <v>5200000</v>
      </c>
      <c r="C5" s="34">
        <v>834100</v>
      </c>
      <c r="D5" s="35" t="e">
        <f>#REF!</f>
        <v>#REF!</v>
      </c>
      <c r="E5" s="35">
        <f>'2013 PROFIT &amp; LOSSES'!F8</f>
        <v>144999.6</v>
      </c>
      <c r="F5" s="35" t="e">
        <f aca="true" t="shared" si="0" ref="F5:F19">E5-D5</f>
        <v>#REF!</v>
      </c>
      <c r="G5" s="42">
        <f aca="true" t="shared" si="1" ref="G5:G19">E5/C5</f>
        <v>0.17383958757942694</v>
      </c>
      <c r="H5" s="12"/>
      <c r="I5" s="32" t="s">
        <v>83</v>
      </c>
      <c r="J5" s="32" t="s">
        <v>84</v>
      </c>
      <c r="K5" s="12"/>
    </row>
    <row r="6" spans="1:11" ht="15" customHeight="1">
      <c r="A6" s="20" t="s">
        <v>1</v>
      </c>
      <c r="B6" s="34">
        <v>900000</v>
      </c>
      <c r="C6" s="34">
        <v>990000</v>
      </c>
      <c r="D6" s="35" t="e">
        <f>#REF!</f>
        <v>#REF!</v>
      </c>
      <c r="E6" s="35">
        <v>0</v>
      </c>
      <c r="F6" s="35" t="e">
        <f t="shared" si="0"/>
        <v>#REF!</v>
      </c>
      <c r="G6" s="42">
        <f t="shared" si="1"/>
        <v>0</v>
      </c>
      <c r="H6" s="12" t="s">
        <v>33</v>
      </c>
      <c r="I6" s="31">
        <v>191847</v>
      </c>
      <c r="J6" s="31">
        <v>528523.84</v>
      </c>
      <c r="K6" s="12"/>
    </row>
    <row r="7" spans="1:11" ht="15" customHeight="1">
      <c r="A7" s="20" t="s">
        <v>2</v>
      </c>
      <c r="B7" s="34">
        <v>150000</v>
      </c>
      <c r="C7" s="34">
        <v>200000</v>
      </c>
      <c r="D7" s="35" t="e">
        <f>#REF!</f>
        <v>#REF!</v>
      </c>
      <c r="E7" s="35">
        <f>'2013 PROFIT &amp; LOSSES'!F14</f>
        <v>20097.04</v>
      </c>
      <c r="F7" s="35" t="e">
        <f>E7-D7</f>
        <v>#REF!</v>
      </c>
      <c r="G7" s="42">
        <f t="shared" si="1"/>
        <v>0.10048520000000001</v>
      </c>
      <c r="H7" s="12"/>
      <c r="I7" s="12"/>
      <c r="J7" s="8"/>
      <c r="K7" s="12"/>
    </row>
    <row r="8" spans="1:11" ht="15" customHeight="1">
      <c r="A8" s="20" t="s">
        <v>3</v>
      </c>
      <c r="B8" s="34">
        <v>1751670</v>
      </c>
      <c r="C8" s="34">
        <f>1165700+234300</f>
        <v>1400000</v>
      </c>
      <c r="D8" s="35" t="e">
        <f>#REF!</f>
        <v>#REF!</v>
      </c>
      <c r="E8" s="35">
        <f>'2013 PROFIT &amp; LOSSES'!F16</f>
        <v>0</v>
      </c>
      <c r="F8" s="35" t="e">
        <f>E8-D8</f>
        <v>#REF!</v>
      </c>
      <c r="G8" s="42">
        <f t="shared" si="1"/>
        <v>0</v>
      </c>
      <c r="H8" s="12"/>
      <c r="I8" s="12"/>
      <c r="J8" s="8"/>
      <c r="K8" s="12"/>
    </row>
    <row r="9" spans="1:11" ht="15" customHeight="1">
      <c r="A9" s="20" t="s">
        <v>4</v>
      </c>
      <c r="B9" s="34">
        <v>250000</v>
      </c>
      <c r="C9" s="34">
        <v>250000</v>
      </c>
      <c r="D9" s="35" t="e">
        <f>#REF!</f>
        <v>#REF!</v>
      </c>
      <c r="E9" s="35">
        <f>'2013 PROFIT &amp; LOSSES'!F15</f>
        <v>38483.79</v>
      </c>
      <c r="F9" s="35" t="e">
        <f t="shared" si="0"/>
        <v>#REF!</v>
      </c>
      <c r="G9" s="42">
        <f t="shared" si="1"/>
        <v>0.15393516000000002</v>
      </c>
      <c r="H9" s="12"/>
      <c r="I9" s="12"/>
      <c r="J9" s="8"/>
      <c r="K9" s="12"/>
    </row>
    <row r="10" spans="1:12" ht="15" customHeight="1">
      <c r="A10" s="20" t="s">
        <v>5</v>
      </c>
      <c r="B10" s="34">
        <v>25000</v>
      </c>
      <c r="C10" s="34">
        <v>15000</v>
      </c>
      <c r="D10" s="35" t="e">
        <f>#REF!</f>
        <v>#REF!</v>
      </c>
      <c r="E10" s="35">
        <f>'2013 PROFIT &amp; LOSSES'!F17</f>
        <v>2055</v>
      </c>
      <c r="F10" s="35" t="e">
        <f t="shared" si="0"/>
        <v>#REF!</v>
      </c>
      <c r="G10" s="42">
        <f t="shared" si="1"/>
        <v>0.137</v>
      </c>
      <c r="H10" s="12"/>
      <c r="I10" s="12"/>
      <c r="J10" s="8"/>
      <c r="K10" s="12"/>
      <c r="L10" s="4"/>
    </row>
    <row r="11" spans="1:11" ht="15" customHeight="1">
      <c r="A11" s="20" t="s">
        <v>6</v>
      </c>
      <c r="B11" s="34">
        <v>35000</v>
      </c>
      <c r="C11" s="34">
        <v>40000</v>
      </c>
      <c r="D11" s="35" t="e">
        <f>#REF!</f>
        <v>#REF!</v>
      </c>
      <c r="E11" s="35">
        <f>'2013 PROFIT &amp; LOSSES'!F19</f>
        <v>283</v>
      </c>
      <c r="F11" s="35" t="e">
        <f t="shared" si="0"/>
        <v>#REF!</v>
      </c>
      <c r="G11" s="42">
        <f t="shared" si="1"/>
        <v>0.007075</v>
      </c>
      <c r="H11" s="12"/>
      <c r="I11" s="12"/>
      <c r="J11" s="8"/>
      <c r="K11" s="12"/>
    </row>
    <row r="12" spans="1:11" ht="15" customHeight="1">
      <c r="A12" s="20" t="s">
        <v>7</v>
      </c>
      <c r="B12" s="34">
        <v>50000</v>
      </c>
      <c r="C12" s="34">
        <v>100000</v>
      </c>
      <c r="D12" s="35" t="e">
        <f>#REF!</f>
        <v>#REF!</v>
      </c>
      <c r="E12" s="35">
        <f>'2013 PROFIT &amp; LOSSES'!F20</f>
        <v>24306.5</v>
      </c>
      <c r="F12" s="35" t="e">
        <f t="shared" si="0"/>
        <v>#REF!</v>
      </c>
      <c r="G12" s="42">
        <f t="shared" si="1"/>
        <v>0.243065</v>
      </c>
      <c r="H12" s="12" t="s">
        <v>32</v>
      </c>
      <c r="I12" s="12"/>
      <c r="J12" s="8"/>
      <c r="K12" s="12"/>
    </row>
    <row r="13" spans="1:12" ht="15" customHeight="1">
      <c r="A13" s="20" t="s">
        <v>8</v>
      </c>
      <c r="B13" s="34">
        <v>850000</v>
      </c>
      <c r="C13" s="34">
        <v>890000</v>
      </c>
      <c r="D13" s="35" t="e">
        <f>#REF!</f>
        <v>#REF!</v>
      </c>
      <c r="E13" s="35">
        <f>'2013 PROFIT &amp; LOSSES'!F12</f>
        <v>246287.5</v>
      </c>
      <c r="F13" s="35" t="e">
        <f t="shared" si="0"/>
        <v>#REF!</v>
      </c>
      <c r="G13" s="42">
        <f t="shared" si="1"/>
        <v>0.27672752808988765</v>
      </c>
      <c r="H13" s="12"/>
      <c r="I13" s="12"/>
      <c r="J13" s="8"/>
      <c r="K13" s="12"/>
      <c r="L13" s="4"/>
    </row>
    <row r="14" spans="1:11" ht="15" customHeight="1">
      <c r="A14" s="20" t="s">
        <v>9</v>
      </c>
      <c r="B14" s="34">
        <v>250000</v>
      </c>
      <c r="C14" s="34">
        <v>400000</v>
      </c>
      <c r="D14" s="35" t="e">
        <f>#REF!</f>
        <v>#REF!</v>
      </c>
      <c r="E14" s="35">
        <f>'2013 PROFIT &amp; LOSSES'!F13</f>
        <v>0</v>
      </c>
      <c r="F14" s="35" t="e">
        <f t="shared" si="0"/>
        <v>#REF!</v>
      </c>
      <c r="G14" s="42">
        <f t="shared" si="1"/>
        <v>0</v>
      </c>
      <c r="H14" s="12"/>
      <c r="I14" s="12"/>
      <c r="J14" s="8"/>
      <c r="K14" s="12"/>
    </row>
    <row r="15" spans="1:11" ht="15" customHeight="1">
      <c r="A15" s="20" t="s">
        <v>10</v>
      </c>
      <c r="B15" s="34">
        <v>175000</v>
      </c>
      <c r="C15" s="34">
        <v>320000</v>
      </c>
      <c r="D15" s="35" t="e">
        <f>#REF!</f>
        <v>#REF!</v>
      </c>
      <c r="E15" s="35">
        <f>'2013 PROFIT &amp; LOSSES'!F18</f>
        <v>64073.93</v>
      </c>
      <c r="F15" s="35" t="e">
        <f t="shared" si="0"/>
        <v>#REF!</v>
      </c>
      <c r="G15" s="42">
        <f t="shared" si="1"/>
        <v>0.20023103125</v>
      </c>
      <c r="H15" s="12"/>
      <c r="I15" s="12"/>
      <c r="J15" s="8"/>
      <c r="K15" s="12"/>
    </row>
    <row r="16" spans="1:11" ht="12.75">
      <c r="A16" s="20" t="s">
        <v>11</v>
      </c>
      <c r="B16" s="34">
        <v>50000</v>
      </c>
      <c r="C16" s="34">
        <v>150000</v>
      </c>
      <c r="D16" s="35" t="e">
        <f>#REF!</f>
        <v>#REF!</v>
      </c>
      <c r="E16" s="35">
        <f>'2013 PROFIT &amp; LOSSES'!F21</f>
        <v>3452.28</v>
      </c>
      <c r="F16" s="35" t="e">
        <f t="shared" si="0"/>
        <v>#REF!</v>
      </c>
      <c r="G16" s="42">
        <f t="shared" si="1"/>
        <v>0.023015200000000003</v>
      </c>
      <c r="H16" s="12"/>
      <c r="I16" s="12"/>
      <c r="J16" s="8"/>
      <c r="K16" s="12"/>
    </row>
    <row r="17" spans="1:11" ht="15" customHeight="1" hidden="1">
      <c r="A17" s="20" t="s">
        <v>12</v>
      </c>
      <c r="B17" s="34"/>
      <c r="C17" s="34"/>
      <c r="D17" s="35" t="e">
        <f>#REF!</f>
        <v>#REF!</v>
      </c>
      <c r="E17" s="35">
        <v>0</v>
      </c>
      <c r="F17" s="35" t="e">
        <f t="shared" si="0"/>
        <v>#REF!</v>
      </c>
      <c r="G17" s="42" t="e">
        <f t="shared" si="1"/>
        <v>#DIV/0!</v>
      </c>
      <c r="H17" s="12"/>
      <c r="I17" s="12"/>
      <c r="J17" s="8"/>
      <c r="K17" s="12"/>
    </row>
    <row r="18" spans="1:11" ht="12.75" customHeight="1" hidden="1">
      <c r="A18" s="20"/>
      <c r="B18" s="34"/>
      <c r="C18" s="34"/>
      <c r="D18" s="35" t="e">
        <f>#REF!</f>
        <v>#REF!</v>
      </c>
      <c r="E18" s="35">
        <v>0</v>
      </c>
      <c r="F18" s="35" t="e">
        <f t="shared" si="0"/>
        <v>#REF!</v>
      </c>
      <c r="G18" s="42" t="e">
        <f t="shared" si="1"/>
        <v>#DIV/0!</v>
      </c>
      <c r="H18" s="2"/>
      <c r="I18" s="2"/>
      <c r="J18" s="3"/>
      <c r="K18" s="2"/>
    </row>
    <row r="19" spans="1:11" ht="15" customHeight="1">
      <c r="A19" s="26" t="s">
        <v>13</v>
      </c>
      <c r="B19" s="36">
        <v>8531566</v>
      </c>
      <c r="C19" s="36">
        <v>1945323</v>
      </c>
      <c r="D19" s="35">
        <v>0</v>
      </c>
      <c r="E19" s="37">
        <v>0</v>
      </c>
      <c r="F19" s="37">
        <f t="shared" si="0"/>
        <v>0</v>
      </c>
      <c r="G19" s="43">
        <f t="shared" si="1"/>
        <v>0</v>
      </c>
      <c r="H19" s="12"/>
      <c r="I19" s="12"/>
      <c r="J19" s="8"/>
      <c r="K19" s="12"/>
    </row>
    <row r="20" spans="1:11" ht="15" customHeight="1">
      <c r="A20" s="27"/>
      <c r="B20" s="38"/>
      <c r="C20" s="38"/>
      <c r="D20" s="39"/>
      <c r="E20" s="39"/>
      <c r="F20" s="39"/>
      <c r="G20" s="44"/>
      <c r="H20" s="12"/>
      <c r="I20" s="12"/>
      <c r="J20" s="8"/>
      <c r="K20" s="12"/>
    </row>
    <row r="21" spans="1:14" s="10" customFormat="1" ht="18" customHeight="1">
      <c r="A21" s="18" t="s">
        <v>27</v>
      </c>
      <c r="B21" s="40">
        <f>SUM(B4:B19)</f>
        <v>58013403</v>
      </c>
      <c r="C21" s="40">
        <f>SUM(C4:C19)</f>
        <v>52841725</v>
      </c>
      <c r="D21" s="41" t="e">
        <f>D19+D16+D15+D14+D13+D12+D11+D10+D9+D8+D7+D6+D5+D4</f>
        <v>#REF!</v>
      </c>
      <c r="E21" s="41">
        <f>SUM(E4:E19)</f>
        <v>5390826.38</v>
      </c>
      <c r="F21" s="41" t="e">
        <f>SUM(F4:F19)</f>
        <v>#REF!</v>
      </c>
      <c r="G21" s="45">
        <f>E21/C21</f>
        <v>0.10201836484331274</v>
      </c>
      <c r="H21" s="12"/>
      <c r="I21" s="12">
        <f>E21-1316123</f>
        <v>4074703.38</v>
      </c>
      <c r="J21" s="8"/>
      <c r="K21" s="12"/>
      <c r="L21" s="8"/>
      <c r="N21" s="17"/>
    </row>
    <row r="22" spans="1:11" ht="12" customHeight="1">
      <c r="A22" s="1"/>
      <c r="B22" s="4"/>
      <c r="C22" s="4"/>
      <c r="D22" s="4"/>
      <c r="E22" s="4"/>
      <c r="F22" s="13"/>
      <c r="G22" s="13"/>
      <c r="H22" s="2"/>
      <c r="I22" s="2"/>
      <c r="J22" s="3"/>
      <c r="K22" s="2"/>
    </row>
    <row r="23" spans="1:10" ht="12" customHeight="1">
      <c r="A23" s="22"/>
      <c r="B23" s="23"/>
      <c r="C23" s="22"/>
      <c r="D23" s="92"/>
      <c r="E23" s="23"/>
      <c r="F23" s="24"/>
      <c r="G23" s="25"/>
      <c r="H23" s="14"/>
      <c r="I23" s="14"/>
      <c r="J23" s="14"/>
    </row>
    <row r="24" spans="1:9" ht="15" customHeight="1">
      <c r="A24" s="106" t="s">
        <v>14</v>
      </c>
      <c r="B24" s="106" t="s">
        <v>34</v>
      </c>
      <c r="C24" s="106" t="s">
        <v>88</v>
      </c>
      <c r="D24" s="19">
        <v>40940</v>
      </c>
      <c r="E24" s="19">
        <v>41306</v>
      </c>
      <c r="F24" s="109" t="s">
        <v>28</v>
      </c>
      <c r="G24" s="111" t="s">
        <v>29</v>
      </c>
      <c r="H24" s="6"/>
      <c r="I24" s="6"/>
    </row>
    <row r="25" spans="1:9" ht="15" customHeight="1">
      <c r="A25" s="107"/>
      <c r="B25" s="108"/>
      <c r="C25" s="108"/>
      <c r="D25" s="113" t="s">
        <v>26</v>
      </c>
      <c r="E25" s="110" t="s">
        <v>26</v>
      </c>
      <c r="F25" s="110"/>
      <c r="G25" s="112"/>
      <c r="H25" s="90" t="e">
        <f>D21-40233832</f>
        <v>#REF!</v>
      </c>
      <c r="I25" s="11"/>
    </row>
    <row r="26" spans="1:10" ht="15" customHeight="1">
      <c r="A26" s="107"/>
      <c r="B26" s="108"/>
      <c r="C26" s="108"/>
      <c r="D26" s="109"/>
      <c r="E26" s="110"/>
      <c r="F26" s="110"/>
      <c r="G26" s="112"/>
      <c r="H26" s="11"/>
      <c r="I26" s="11"/>
      <c r="J26" s="15"/>
    </row>
    <row r="27" spans="1:10" ht="15" customHeight="1">
      <c r="A27" s="20" t="s">
        <v>15</v>
      </c>
      <c r="B27" s="34">
        <v>2100290</v>
      </c>
      <c r="C27" s="34">
        <v>1884258</v>
      </c>
      <c r="D27" s="35" t="e">
        <f>#REF!</f>
        <v>#REF!</v>
      </c>
      <c r="E27" s="35">
        <f>'2013 PROFIT &amp; LOSSES'!F28</f>
        <v>131884.87</v>
      </c>
      <c r="F27" s="35" t="e">
        <f aca="true" t="shared" si="2" ref="F27:F40">E27-D27</f>
        <v>#REF!</v>
      </c>
      <c r="G27" s="21">
        <f>E27/C27</f>
        <v>0.06999299989704169</v>
      </c>
      <c r="H27" s="8"/>
      <c r="I27" s="12"/>
      <c r="J27" s="15"/>
    </row>
    <row r="28" spans="1:10" ht="15" customHeight="1">
      <c r="A28" s="20" t="s">
        <v>16</v>
      </c>
      <c r="B28" s="34">
        <v>1787221</v>
      </c>
      <c r="C28" s="34">
        <v>2054581</v>
      </c>
      <c r="D28" s="35" t="e">
        <f>#REF!</f>
        <v>#REF!</v>
      </c>
      <c r="E28" s="35">
        <f>'2013 PROFIT &amp; LOSSES'!F32</f>
        <v>128784.66</v>
      </c>
      <c r="F28" s="35" t="e">
        <f>E28-D28</f>
        <v>#REF!</v>
      </c>
      <c r="G28" s="21">
        <f aca="true" t="shared" si="3" ref="G28:G40">E28/C28</f>
        <v>0.06268171466590998</v>
      </c>
      <c r="H28" s="8"/>
      <c r="I28" s="9"/>
      <c r="J28" s="15"/>
    </row>
    <row r="29" spans="1:10" ht="15" customHeight="1">
      <c r="A29" s="20" t="s">
        <v>87</v>
      </c>
      <c r="B29" s="34">
        <v>696162</v>
      </c>
      <c r="C29" s="34">
        <v>585246</v>
      </c>
      <c r="D29" s="35" t="e">
        <f>#REF!</f>
        <v>#REF!</v>
      </c>
      <c r="E29" s="35">
        <f>'2013 PROFIT &amp; LOSSES'!F36</f>
        <v>39637.62</v>
      </c>
      <c r="F29" s="35" t="e">
        <f t="shared" si="2"/>
        <v>#REF!</v>
      </c>
      <c r="G29" s="21">
        <f t="shared" si="3"/>
        <v>0.06772813483560759</v>
      </c>
      <c r="H29" s="8"/>
      <c r="I29" s="9"/>
      <c r="J29" s="15"/>
    </row>
    <row r="30" spans="1:10" ht="15" customHeight="1">
      <c r="A30" s="20" t="s">
        <v>17</v>
      </c>
      <c r="B30" s="34">
        <v>7986645</v>
      </c>
      <c r="C30" s="34">
        <v>7653505</v>
      </c>
      <c r="D30" s="35" t="e">
        <f>#REF!</f>
        <v>#REF!</v>
      </c>
      <c r="E30" s="35">
        <f>'2013 PROFIT &amp; LOSSES'!F40</f>
        <v>575462.28</v>
      </c>
      <c r="F30" s="35" t="e">
        <f t="shared" si="2"/>
        <v>#REF!</v>
      </c>
      <c r="G30" s="21">
        <f t="shared" si="3"/>
        <v>0.0751893779386046</v>
      </c>
      <c r="H30" s="8"/>
      <c r="I30" s="9"/>
      <c r="J30" s="15"/>
    </row>
    <row r="31" spans="1:10" ht="15" customHeight="1">
      <c r="A31" s="20" t="s">
        <v>18</v>
      </c>
      <c r="B31" s="34">
        <v>20027575</v>
      </c>
      <c r="C31" s="34">
        <v>0</v>
      </c>
      <c r="D31" s="35" t="e">
        <f>#REF!</f>
        <v>#REF!</v>
      </c>
      <c r="E31" s="35">
        <v>0</v>
      </c>
      <c r="F31" s="35" t="e">
        <f t="shared" si="2"/>
        <v>#REF!</v>
      </c>
      <c r="G31" s="21">
        <v>0</v>
      </c>
      <c r="H31" s="8"/>
      <c r="I31" s="9"/>
      <c r="J31" s="15"/>
    </row>
    <row r="32" spans="1:10" ht="15" customHeight="1">
      <c r="A32" s="20" t="s">
        <v>93</v>
      </c>
      <c r="B32" s="34">
        <v>0</v>
      </c>
      <c r="C32" s="34">
        <v>10504913</v>
      </c>
      <c r="D32" s="35">
        <v>0</v>
      </c>
      <c r="E32" s="35">
        <f>'2013 PROFIT &amp; LOSSES'!F48</f>
        <v>423848.46</v>
      </c>
      <c r="F32" s="35"/>
      <c r="G32" s="21">
        <f>E32/C32</f>
        <v>0.040347641146575894</v>
      </c>
      <c r="H32" s="8"/>
      <c r="I32" s="9"/>
      <c r="J32" s="15"/>
    </row>
    <row r="33" spans="1:10" ht="15" customHeight="1">
      <c r="A33" s="20" t="s">
        <v>94</v>
      </c>
      <c r="B33" s="34">
        <v>0</v>
      </c>
      <c r="C33" s="34">
        <f>8611145+592000</f>
        <v>9203145</v>
      </c>
      <c r="D33" s="35">
        <v>0</v>
      </c>
      <c r="E33" s="35">
        <f>'2013 PROFIT &amp; LOSSES'!F52+'2013 PROFIT &amp; LOSSES'!F56</f>
        <v>481645.27</v>
      </c>
      <c r="F33" s="35"/>
      <c r="G33" s="21">
        <f>E33/C33</f>
        <v>0.05233485618231594</v>
      </c>
      <c r="H33" s="8"/>
      <c r="I33" s="9"/>
      <c r="J33" s="15"/>
    </row>
    <row r="34" spans="1:10" ht="15" customHeight="1">
      <c r="A34" s="20" t="s">
        <v>19</v>
      </c>
      <c r="B34" s="34">
        <v>200000</v>
      </c>
      <c r="C34" s="34">
        <v>250000</v>
      </c>
      <c r="D34" s="35" t="e">
        <f>#REF!</f>
        <v>#REF!</v>
      </c>
      <c r="E34" s="35">
        <f>'2013 PROFIT &amp; LOSSES'!F60</f>
        <v>0</v>
      </c>
      <c r="F34" s="35" t="e">
        <f t="shared" si="2"/>
        <v>#REF!</v>
      </c>
      <c r="G34" s="21">
        <f t="shared" si="3"/>
        <v>0</v>
      </c>
      <c r="H34" s="8"/>
      <c r="I34" s="9"/>
      <c r="J34" s="15"/>
    </row>
    <row r="35" spans="1:10" ht="15" customHeight="1">
      <c r="A35" s="91" t="s">
        <v>35</v>
      </c>
      <c r="B35" s="34">
        <v>2707564</v>
      </c>
      <c r="C35" s="34">
        <v>3046935</v>
      </c>
      <c r="D35" s="35" t="e">
        <f>#REF!</f>
        <v>#REF!</v>
      </c>
      <c r="E35" s="35">
        <f>'2013 PROFIT &amp; LOSSES'!F44</f>
        <v>67907.03</v>
      </c>
      <c r="F35" s="35" t="e">
        <f t="shared" si="2"/>
        <v>#REF!</v>
      </c>
      <c r="G35" s="21">
        <f t="shared" si="3"/>
        <v>0.02228699660478481</v>
      </c>
      <c r="H35" s="8"/>
      <c r="I35" s="9"/>
      <c r="J35" s="15"/>
    </row>
    <row r="36" spans="1:10" ht="15" customHeight="1">
      <c r="A36" s="20" t="s">
        <v>20</v>
      </c>
      <c r="B36" s="34">
        <v>9633492</v>
      </c>
      <c r="C36" s="34">
        <v>9514640</v>
      </c>
      <c r="D36" s="35" t="e">
        <f>#REF!</f>
        <v>#REF!</v>
      </c>
      <c r="E36" s="35">
        <f>'2013 PROFIT &amp; LOSSES'!F62</f>
        <v>642943.4</v>
      </c>
      <c r="F36" s="35" t="e">
        <f t="shared" si="2"/>
        <v>#REF!</v>
      </c>
      <c r="G36" s="21">
        <f t="shared" si="3"/>
        <v>0.06757411736019439</v>
      </c>
      <c r="H36" s="8"/>
      <c r="I36" s="9"/>
      <c r="J36" s="15"/>
    </row>
    <row r="37" spans="1:10" ht="15" customHeight="1">
      <c r="A37" s="20" t="s">
        <v>21</v>
      </c>
      <c r="B37" s="34">
        <v>1429731</v>
      </c>
      <c r="C37" s="34">
        <v>1365971</v>
      </c>
      <c r="D37" s="35" t="e">
        <f>#REF!</f>
        <v>#REF!</v>
      </c>
      <c r="E37" s="35">
        <f>'2013 PROFIT &amp; LOSSES'!F66</f>
        <v>106819.26</v>
      </c>
      <c r="F37" s="35" t="e">
        <f t="shared" si="2"/>
        <v>#REF!</v>
      </c>
      <c r="G37" s="21">
        <f t="shared" si="3"/>
        <v>0.07820023997581207</v>
      </c>
      <c r="H37" s="8"/>
      <c r="I37" s="9"/>
      <c r="J37" s="15"/>
    </row>
    <row r="38" spans="1:10" ht="15" customHeight="1">
      <c r="A38" s="20" t="s">
        <v>22</v>
      </c>
      <c r="B38" s="34">
        <v>1735303</v>
      </c>
      <c r="C38" s="34">
        <v>1813531</v>
      </c>
      <c r="D38" s="35" t="e">
        <f>#REF!</f>
        <v>#REF!</v>
      </c>
      <c r="E38" s="35">
        <f>'2013 PROFIT &amp; LOSSES'!F70</f>
        <v>152468.41</v>
      </c>
      <c r="F38" s="35" t="e">
        <f t="shared" si="2"/>
        <v>#REF!</v>
      </c>
      <c r="G38" s="21">
        <f t="shared" si="3"/>
        <v>0.08407267920978467</v>
      </c>
      <c r="H38" s="8"/>
      <c r="I38" s="9"/>
      <c r="J38" s="16"/>
    </row>
    <row r="39" spans="1:10" ht="15" customHeight="1">
      <c r="A39" s="20" t="s">
        <v>23</v>
      </c>
      <c r="B39" s="34">
        <v>2709420</v>
      </c>
      <c r="C39" s="34">
        <v>3415000</v>
      </c>
      <c r="D39" s="35" t="e">
        <f>#REF!</f>
        <v>#REF!</v>
      </c>
      <c r="E39" s="35">
        <f>'2013 PROFIT &amp; LOSSES'!F74</f>
        <v>137724.02000000002</v>
      </c>
      <c r="F39" s="35" t="e">
        <f t="shared" si="2"/>
        <v>#REF!</v>
      </c>
      <c r="G39" s="21">
        <f t="shared" si="3"/>
        <v>0.04032914202049781</v>
      </c>
      <c r="H39" s="8"/>
      <c r="I39" s="9"/>
      <c r="J39" s="16"/>
    </row>
    <row r="40" spans="1:9" ht="15" customHeight="1">
      <c r="A40" s="26" t="s">
        <v>24</v>
      </c>
      <c r="B40" s="36">
        <v>7000000</v>
      </c>
      <c r="C40" s="36">
        <v>1550000</v>
      </c>
      <c r="D40" s="37">
        <v>0</v>
      </c>
      <c r="E40" s="35">
        <v>0</v>
      </c>
      <c r="F40" s="35">
        <f t="shared" si="2"/>
        <v>0</v>
      </c>
      <c r="G40" s="28">
        <f t="shared" si="3"/>
        <v>0</v>
      </c>
      <c r="H40" s="3"/>
      <c r="I40" s="7"/>
    </row>
    <row r="41" spans="1:9" ht="15" customHeight="1">
      <c r="A41" s="27"/>
      <c r="B41" s="38"/>
      <c r="C41" s="38"/>
      <c r="D41" s="39"/>
      <c r="E41" s="39"/>
      <c r="F41" s="39"/>
      <c r="G41" s="30"/>
      <c r="H41" s="3"/>
      <c r="I41" s="7"/>
    </row>
    <row r="42" spans="1:10" s="10" customFormat="1" ht="18" customHeight="1">
      <c r="A42" s="18" t="s">
        <v>27</v>
      </c>
      <c r="B42" s="40">
        <f>SUM(B27:B40)</f>
        <v>58013403</v>
      </c>
      <c r="C42" s="40">
        <f>SUM(C27:C40)</f>
        <v>52841725</v>
      </c>
      <c r="D42" s="41" t="e">
        <f>SUM(D27:D40)</f>
        <v>#REF!</v>
      </c>
      <c r="E42" s="41">
        <f>SUM(E27:E40)</f>
        <v>2889125.2800000003</v>
      </c>
      <c r="F42" s="41" t="e">
        <f>SUM(F27:F40)</f>
        <v>#REF!</v>
      </c>
      <c r="G42" s="29">
        <f>E42/C42</f>
        <v>0.05467507504722831</v>
      </c>
      <c r="J42" s="16"/>
    </row>
    <row r="43" spans="2:6" ht="12.75">
      <c r="B43" s="46"/>
      <c r="C43" s="46"/>
      <c r="D43" s="46"/>
      <c r="E43" s="46"/>
      <c r="F43" s="46"/>
    </row>
    <row r="44" spans="2:6" ht="12.75">
      <c r="B44" s="46"/>
      <c r="C44" s="46"/>
      <c r="D44" s="46"/>
      <c r="E44" s="46"/>
      <c r="F44" s="46"/>
    </row>
    <row r="45" spans="2:6" ht="12.75">
      <c r="B45" s="46"/>
      <c r="C45" s="46"/>
      <c r="D45" s="46"/>
      <c r="E45" s="46"/>
      <c r="F45" s="46"/>
    </row>
    <row r="46" spans="2:6" ht="12.75">
      <c r="B46" s="46"/>
      <c r="C46" s="46"/>
      <c r="D46" s="46"/>
      <c r="E46" s="46"/>
      <c r="F46" s="46"/>
    </row>
    <row r="47" spans="2:6" ht="12.75">
      <c r="B47" s="46"/>
      <c r="C47" s="46"/>
      <c r="D47" s="46"/>
      <c r="E47" s="46"/>
      <c r="F47" s="46"/>
    </row>
    <row r="48" spans="2:6" ht="12.75">
      <c r="B48" s="46"/>
      <c r="C48" s="46"/>
      <c r="D48" s="46"/>
      <c r="E48" s="46"/>
      <c r="F48" s="46"/>
    </row>
    <row r="49" spans="2:8" ht="12.75">
      <c r="B49" s="46"/>
      <c r="C49" s="46"/>
      <c r="D49" s="46"/>
      <c r="E49" s="46"/>
      <c r="F49" s="46"/>
      <c r="H49" s="33"/>
    </row>
    <row r="50" spans="2:8" ht="12.75">
      <c r="B50" s="46"/>
      <c r="C50" s="46"/>
      <c r="D50" s="46"/>
      <c r="E50" s="46"/>
      <c r="F50" s="46"/>
      <c r="H50" s="33"/>
    </row>
    <row r="51" spans="2:8" ht="12.75">
      <c r="B51" s="46"/>
      <c r="C51" s="46"/>
      <c r="D51" s="46"/>
      <c r="E51" s="46"/>
      <c r="F51" s="46"/>
      <c r="H51" s="33"/>
    </row>
  </sheetData>
  <sheetProtection/>
  <mergeCells count="14">
    <mergeCell ref="A24:A26"/>
    <mergeCell ref="B24:B26"/>
    <mergeCell ref="C24:C26"/>
    <mergeCell ref="F24:F26"/>
    <mergeCell ref="G24:G26"/>
    <mergeCell ref="D25:D26"/>
    <mergeCell ref="E25:E26"/>
    <mergeCell ref="A1:A3"/>
    <mergeCell ref="B1:B3"/>
    <mergeCell ref="C1:C3"/>
    <mergeCell ref="F1:F3"/>
    <mergeCell ref="G1:G3"/>
    <mergeCell ref="D2:D3"/>
    <mergeCell ref="E2:E3"/>
  </mergeCells>
  <printOptions horizontalCentered="1" verticalCentered="1"/>
  <pageMargins left="0.5" right="0.5" top="1" bottom="0.5" header="0.25" footer="0.3"/>
  <pageSetup fitToHeight="1" fitToWidth="1" horizontalDpi="300" verticalDpi="300" orientation="landscape" scale="88" r:id="rId1"/>
  <headerFooter>
    <oddHeader>&amp;C&amp;"-,Bold"&amp;12Forest Preserve District of Cook County
Corporate Fund Analysis of Revenue and Expense
As of February 28, 2013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145" zoomScaleNormal="145" zoomScalePageLayoutView="0" workbookViewId="0" topLeftCell="A1">
      <selection activeCell="D1" sqref="D1"/>
    </sheetView>
  </sheetViews>
  <sheetFormatPr defaultColWidth="12.421875" defaultRowHeight="15"/>
  <cols>
    <col min="1" max="1" width="26.7109375" style="5" customWidth="1"/>
    <col min="2" max="3" width="13.7109375" style="5" customWidth="1"/>
    <col min="4" max="6" width="20.7109375" style="5" customWidth="1"/>
    <col min="7" max="7" width="14.28125" style="5" customWidth="1"/>
    <col min="8" max="8" width="14.421875" style="5" customWidth="1"/>
    <col min="9" max="10" width="15.28125" style="5" customWidth="1"/>
    <col min="11" max="11" width="13.57421875" style="5" customWidth="1"/>
    <col min="12" max="12" width="15.28125" style="5" customWidth="1"/>
    <col min="13" max="13" width="15.421875" style="5" customWidth="1"/>
    <col min="14" max="14" width="8.00390625" style="5" customWidth="1"/>
    <col min="15" max="15" width="18.57421875" style="5" customWidth="1"/>
    <col min="16" max="16" width="13.7109375" style="5" customWidth="1"/>
    <col min="17" max="18" width="12.421875" style="5" customWidth="1"/>
    <col min="19" max="19" width="11.57421875" style="5" customWidth="1"/>
    <col min="20" max="16384" width="12.421875" style="5" customWidth="1"/>
  </cols>
  <sheetData>
    <row r="1" spans="1:11" ht="15" customHeight="1">
      <c r="A1" s="108" t="s">
        <v>0</v>
      </c>
      <c r="B1" s="114" t="s">
        <v>34</v>
      </c>
      <c r="C1" s="114" t="s">
        <v>88</v>
      </c>
      <c r="D1" s="19">
        <v>40909</v>
      </c>
      <c r="E1" s="19">
        <v>41275</v>
      </c>
      <c r="F1" s="110" t="s">
        <v>28</v>
      </c>
      <c r="G1" s="112" t="s">
        <v>29</v>
      </c>
      <c r="H1" s="6"/>
      <c r="I1" s="6"/>
      <c r="J1" s="6"/>
      <c r="K1" s="6"/>
    </row>
    <row r="2" spans="1:11" ht="15" customHeight="1">
      <c r="A2" s="108"/>
      <c r="B2" s="115" t="s">
        <v>25</v>
      </c>
      <c r="C2" s="115" t="s">
        <v>25</v>
      </c>
      <c r="D2" s="110" t="s">
        <v>26</v>
      </c>
      <c r="E2" s="110" t="s">
        <v>26</v>
      </c>
      <c r="F2" s="110"/>
      <c r="G2" s="112"/>
      <c r="H2" s="11"/>
      <c r="I2" s="11"/>
      <c r="J2" s="6"/>
      <c r="K2" s="11"/>
    </row>
    <row r="3" spans="1:11" ht="15" customHeight="1">
      <c r="A3" s="108"/>
      <c r="B3" s="106"/>
      <c r="C3" s="106"/>
      <c r="D3" s="110"/>
      <c r="E3" s="110"/>
      <c r="F3" s="110"/>
      <c r="G3" s="112"/>
      <c r="H3" s="11"/>
      <c r="I3" s="11"/>
      <c r="J3" s="11"/>
      <c r="K3" s="11"/>
    </row>
    <row r="4" spans="1:11" ht="15" customHeight="1">
      <c r="A4" s="20" t="s">
        <v>30</v>
      </c>
      <c r="B4" s="34">
        <f>41363334-1568167</f>
        <v>39795167</v>
      </c>
      <c r="C4" s="34">
        <f>46708559-1401257</f>
        <v>45307302</v>
      </c>
      <c r="D4" s="35" t="e">
        <f>#REF!</f>
        <v>#REF!</v>
      </c>
      <c r="E4" s="35">
        <f>'2013 PROFIT &amp; LOSSES'!B5</f>
        <v>247788.7</v>
      </c>
      <c r="F4" s="35" t="e">
        <f>E4-D4</f>
        <v>#REF!</v>
      </c>
      <c r="G4" s="42">
        <f>E4/C4</f>
        <v>0.005469067657129529</v>
      </c>
      <c r="H4" s="12"/>
      <c r="I4" s="12"/>
      <c r="J4" s="8"/>
      <c r="K4" s="12"/>
    </row>
    <row r="5" spans="1:11" ht="15" customHeight="1">
      <c r="A5" s="20" t="s">
        <v>31</v>
      </c>
      <c r="B5" s="34">
        <v>5200000</v>
      </c>
      <c r="C5" s="34">
        <v>834100</v>
      </c>
      <c r="D5" s="35" t="e">
        <f>#REF!</f>
        <v>#REF!</v>
      </c>
      <c r="E5" s="35">
        <f>'2013 PROFIT &amp; LOSSES'!B8</f>
        <v>144999.6</v>
      </c>
      <c r="F5" s="35" t="e">
        <f aca="true" t="shared" si="0" ref="F5:F19">E5-D5</f>
        <v>#REF!</v>
      </c>
      <c r="G5" s="42">
        <f aca="true" t="shared" si="1" ref="G5:G19">E5/C5</f>
        <v>0.17383958757942694</v>
      </c>
      <c r="H5" s="12"/>
      <c r="I5" s="32" t="s">
        <v>83</v>
      </c>
      <c r="J5" s="32" t="s">
        <v>84</v>
      </c>
      <c r="K5" s="12"/>
    </row>
    <row r="6" spans="1:11" ht="15" customHeight="1">
      <c r="A6" s="20" t="s">
        <v>1</v>
      </c>
      <c r="B6" s="34">
        <v>900000</v>
      </c>
      <c r="C6" s="34">
        <v>990000</v>
      </c>
      <c r="D6" s="35" t="e">
        <f>#REF!</f>
        <v>#REF!</v>
      </c>
      <c r="E6" s="35">
        <v>0</v>
      </c>
      <c r="F6" s="35" t="e">
        <f t="shared" si="0"/>
        <v>#REF!</v>
      </c>
      <c r="G6" s="42">
        <f t="shared" si="1"/>
        <v>0</v>
      </c>
      <c r="H6" s="12" t="s">
        <v>33</v>
      </c>
      <c r="I6" s="31">
        <v>191847</v>
      </c>
      <c r="J6" s="31">
        <v>528523.84</v>
      </c>
      <c r="K6" s="12"/>
    </row>
    <row r="7" spans="1:11" ht="15" customHeight="1">
      <c r="A7" s="20" t="s">
        <v>2</v>
      </c>
      <c r="B7" s="34">
        <v>150000</v>
      </c>
      <c r="C7" s="34">
        <v>200000</v>
      </c>
      <c r="D7" s="35" t="e">
        <f>#REF!</f>
        <v>#REF!</v>
      </c>
      <c r="E7" s="35">
        <f>'2013 PROFIT &amp; LOSSES'!B14</f>
        <v>10061.9</v>
      </c>
      <c r="F7" s="35" t="e">
        <f>E7-D7</f>
        <v>#REF!</v>
      </c>
      <c r="G7" s="42">
        <f t="shared" si="1"/>
        <v>0.0503095</v>
      </c>
      <c r="H7" s="12"/>
      <c r="I7" s="12"/>
      <c r="J7" s="8"/>
      <c r="K7" s="12"/>
    </row>
    <row r="8" spans="1:11" ht="15" customHeight="1">
      <c r="A8" s="20" t="s">
        <v>3</v>
      </c>
      <c r="B8" s="34">
        <v>1751670</v>
      </c>
      <c r="C8" s="34">
        <f>1165700+234300</f>
        <v>1400000</v>
      </c>
      <c r="D8" s="35" t="e">
        <f>#REF!</f>
        <v>#REF!</v>
      </c>
      <c r="E8" s="35">
        <f>'2013 PROFIT &amp; LOSSES'!B16</f>
        <v>0</v>
      </c>
      <c r="F8" s="35" t="e">
        <f>E8-D8</f>
        <v>#REF!</v>
      </c>
      <c r="G8" s="42">
        <f t="shared" si="1"/>
        <v>0</v>
      </c>
      <c r="H8" s="12"/>
      <c r="I8" s="12"/>
      <c r="J8" s="8"/>
      <c r="K8" s="12"/>
    </row>
    <row r="9" spans="1:11" ht="15" customHeight="1">
      <c r="A9" s="20" t="s">
        <v>4</v>
      </c>
      <c r="B9" s="34">
        <v>250000</v>
      </c>
      <c r="C9" s="34">
        <v>250000</v>
      </c>
      <c r="D9" s="35" t="e">
        <f>#REF!</f>
        <v>#REF!</v>
      </c>
      <c r="E9" s="35">
        <f>'2013 PROFIT &amp; LOSSES'!B15</f>
        <v>17702.24</v>
      </c>
      <c r="F9" s="35" t="e">
        <f t="shared" si="0"/>
        <v>#REF!</v>
      </c>
      <c r="G9" s="42">
        <f t="shared" si="1"/>
        <v>0.07080896</v>
      </c>
      <c r="H9" s="12"/>
      <c r="I9" s="12"/>
      <c r="J9" s="8"/>
      <c r="K9" s="12"/>
    </row>
    <row r="10" spans="1:12" ht="15" customHeight="1">
      <c r="A10" s="20" t="s">
        <v>5</v>
      </c>
      <c r="B10" s="34">
        <v>25000</v>
      </c>
      <c r="C10" s="34">
        <v>15000</v>
      </c>
      <c r="D10" s="35" t="e">
        <f>#REF!</f>
        <v>#REF!</v>
      </c>
      <c r="E10" s="35">
        <f>'2013 PROFIT &amp; LOSSES'!B17</f>
        <v>140</v>
      </c>
      <c r="F10" s="35" t="e">
        <f t="shared" si="0"/>
        <v>#REF!</v>
      </c>
      <c r="G10" s="42">
        <f t="shared" si="1"/>
        <v>0.009333333333333334</v>
      </c>
      <c r="H10" s="12"/>
      <c r="I10" s="12"/>
      <c r="J10" s="8"/>
      <c r="K10" s="12"/>
      <c r="L10" s="4"/>
    </row>
    <row r="11" spans="1:11" ht="15" customHeight="1">
      <c r="A11" s="20" t="s">
        <v>6</v>
      </c>
      <c r="B11" s="34">
        <v>35000</v>
      </c>
      <c r="C11" s="34">
        <v>40000</v>
      </c>
      <c r="D11" s="35" t="e">
        <f>#REF!</f>
        <v>#REF!</v>
      </c>
      <c r="E11" s="35">
        <f>'2013 PROFIT &amp; LOSSES'!B19</f>
        <v>215</v>
      </c>
      <c r="F11" s="35" t="e">
        <f t="shared" si="0"/>
        <v>#REF!</v>
      </c>
      <c r="G11" s="42">
        <f t="shared" si="1"/>
        <v>0.005375</v>
      </c>
      <c r="H11" s="12"/>
      <c r="I11" s="12"/>
      <c r="J11" s="8"/>
      <c r="K11" s="12"/>
    </row>
    <row r="12" spans="1:11" ht="15" customHeight="1">
      <c r="A12" s="20" t="s">
        <v>7</v>
      </c>
      <c r="B12" s="34">
        <v>50000</v>
      </c>
      <c r="C12" s="34">
        <v>100000</v>
      </c>
      <c r="D12" s="35" t="e">
        <f>#REF!</f>
        <v>#REF!</v>
      </c>
      <c r="E12" s="35">
        <f>'2013 PROFIT &amp; LOSSES'!B20</f>
        <v>20356.32</v>
      </c>
      <c r="F12" s="35" t="e">
        <f t="shared" si="0"/>
        <v>#REF!</v>
      </c>
      <c r="G12" s="42">
        <f t="shared" si="1"/>
        <v>0.2035632</v>
      </c>
      <c r="H12" s="12" t="s">
        <v>32</v>
      </c>
      <c r="I12" s="12"/>
      <c r="J12" s="8"/>
      <c r="K12" s="12"/>
    </row>
    <row r="13" spans="1:12" ht="15" customHeight="1">
      <c r="A13" s="20" t="s">
        <v>8</v>
      </c>
      <c r="B13" s="34">
        <v>850000</v>
      </c>
      <c r="C13" s="34">
        <v>890000</v>
      </c>
      <c r="D13" s="35" t="e">
        <f>#REF!</f>
        <v>#REF!</v>
      </c>
      <c r="E13" s="35">
        <f>'2013 PROFIT &amp; LOSSES'!B12</f>
        <v>187641</v>
      </c>
      <c r="F13" s="35" t="e">
        <f t="shared" si="0"/>
        <v>#REF!</v>
      </c>
      <c r="G13" s="42">
        <f t="shared" si="1"/>
        <v>0.21083258426966292</v>
      </c>
      <c r="H13" s="12"/>
      <c r="I13" s="12"/>
      <c r="J13" s="8"/>
      <c r="K13" s="12"/>
      <c r="L13" s="4"/>
    </row>
    <row r="14" spans="1:11" ht="15" customHeight="1">
      <c r="A14" s="20" t="s">
        <v>9</v>
      </c>
      <c r="B14" s="34">
        <v>250000</v>
      </c>
      <c r="C14" s="34">
        <v>400000</v>
      </c>
      <c r="D14" s="35" t="e">
        <f>#REF!</f>
        <v>#REF!</v>
      </c>
      <c r="E14" s="35">
        <f>'2013 PROFIT &amp; LOSSES'!B13</f>
        <v>0</v>
      </c>
      <c r="F14" s="35" t="e">
        <f t="shared" si="0"/>
        <v>#REF!</v>
      </c>
      <c r="G14" s="42">
        <f t="shared" si="1"/>
        <v>0</v>
      </c>
      <c r="H14" s="12"/>
      <c r="I14" s="12"/>
      <c r="J14" s="8"/>
      <c r="K14" s="12"/>
    </row>
    <row r="15" spans="1:11" ht="15" customHeight="1">
      <c r="A15" s="20" t="s">
        <v>10</v>
      </c>
      <c r="B15" s="34">
        <v>175000</v>
      </c>
      <c r="C15" s="34">
        <v>320000</v>
      </c>
      <c r="D15" s="35" t="e">
        <f>#REF!</f>
        <v>#REF!</v>
      </c>
      <c r="E15" s="35">
        <f>'2013 PROFIT &amp; LOSSES'!B18</f>
        <v>55674.34</v>
      </c>
      <c r="F15" s="35" t="e">
        <f t="shared" si="0"/>
        <v>#REF!</v>
      </c>
      <c r="G15" s="42">
        <f t="shared" si="1"/>
        <v>0.17398231249999999</v>
      </c>
      <c r="H15" s="12"/>
      <c r="I15" s="12"/>
      <c r="J15" s="8"/>
      <c r="K15" s="12"/>
    </row>
    <row r="16" spans="1:11" ht="12.75">
      <c r="A16" s="20" t="s">
        <v>11</v>
      </c>
      <c r="B16" s="34">
        <v>50000</v>
      </c>
      <c r="C16" s="34">
        <v>150000</v>
      </c>
      <c r="D16" s="35" t="e">
        <f>#REF!</f>
        <v>#REF!</v>
      </c>
      <c r="E16" s="35">
        <f>'2013 PROFIT &amp; LOSSES'!B21</f>
        <v>1807.86</v>
      </c>
      <c r="F16" s="35" t="e">
        <f t="shared" si="0"/>
        <v>#REF!</v>
      </c>
      <c r="G16" s="42">
        <f t="shared" si="1"/>
        <v>0.0120524</v>
      </c>
      <c r="H16" s="12"/>
      <c r="I16" s="12"/>
      <c r="J16" s="8"/>
      <c r="K16" s="12"/>
    </row>
    <row r="17" spans="1:11" ht="15" customHeight="1" hidden="1">
      <c r="A17" s="20" t="s">
        <v>12</v>
      </c>
      <c r="B17" s="34"/>
      <c r="C17" s="34"/>
      <c r="D17" s="35" t="e">
        <f>#REF!</f>
        <v>#REF!</v>
      </c>
      <c r="E17" s="35">
        <v>0</v>
      </c>
      <c r="F17" s="35" t="e">
        <f t="shared" si="0"/>
        <v>#REF!</v>
      </c>
      <c r="G17" s="42" t="e">
        <f t="shared" si="1"/>
        <v>#DIV/0!</v>
      </c>
      <c r="H17" s="12"/>
      <c r="I17" s="12"/>
      <c r="J17" s="8"/>
      <c r="K17" s="12"/>
    </row>
    <row r="18" spans="1:11" ht="12.75" customHeight="1" hidden="1">
      <c r="A18" s="20"/>
      <c r="B18" s="34"/>
      <c r="C18" s="34"/>
      <c r="D18" s="35" t="e">
        <f>#REF!</f>
        <v>#REF!</v>
      </c>
      <c r="E18" s="35">
        <v>0</v>
      </c>
      <c r="F18" s="35" t="e">
        <f t="shared" si="0"/>
        <v>#REF!</v>
      </c>
      <c r="G18" s="42" t="e">
        <f t="shared" si="1"/>
        <v>#DIV/0!</v>
      </c>
      <c r="H18" s="2"/>
      <c r="I18" s="2"/>
      <c r="J18" s="3"/>
      <c r="K18" s="2"/>
    </row>
    <row r="19" spans="1:11" ht="15" customHeight="1">
      <c r="A19" s="26" t="s">
        <v>13</v>
      </c>
      <c r="B19" s="36">
        <v>8531566</v>
      </c>
      <c r="C19" s="36">
        <v>1945323</v>
      </c>
      <c r="D19" s="35">
        <v>0</v>
      </c>
      <c r="E19" s="37">
        <v>0</v>
      </c>
      <c r="F19" s="37">
        <f t="shared" si="0"/>
        <v>0</v>
      </c>
      <c r="G19" s="43">
        <f t="shared" si="1"/>
        <v>0</v>
      </c>
      <c r="H19" s="12"/>
      <c r="I19" s="12"/>
      <c r="J19" s="8"/>
      <c r="K19" s="12"/>
    </row>
    <row r="20" spans="1:11" ht="15" customHeight="1">
      <c r="A20" s="27"/>
      <c r="B20" s="38"/>
      <c r="C20" s="38"/>
      <c r="D20" s="39"/>
      <c r="E20" s="39"/>
      <c r="F20" s="39"/>
      <c r="G20" s="44"/>
      <c r="H20" s="12"/>
      <c r="I20" s="12"/>
      <c r="J20" s="8"/>
      <c r="K20" s="12"/>
    </row>
    <row r="21" spans="1:14" s="10" customFormat="1" ht="18" customHeight="1">
      <c r="A21" s="18" t="s">
        <v>27</v>
      </c>
      <c r="B21" s="40">
        <f>SUM(B4:B19)</f>
        <v>58013403</v>
      </c>
      <c r="C21" s="40">
        <f>SUM(C4:C19)</f>
        <v>52841725</v>
      </c>
      <c r="D21" s="41" t="e">
        <f>D19+D16+D15+D14+D13+D12+D11+D10+D9+D8+D7+D6+D5+D4</f>
        <v>#REF!</v>
      </c>
      <c r="E21" s="41">
        <f>SUM(E4:E19)</f>
        <v>686386.96</v>
      </c>
      <c r="F21" s="41" t="e">
        <f>SUM(F4:F19)</f>
        <v>#REF!</v>
      </c>
      <c r="G21" s="45">
        <f>E21/C21</f>
        <v>0.012989488136505762</v>
      </c>
      <c r="H21" s="12"/>
      <c r="I21" s="12">
        <f>E21-1316123</f>
        <v>-629736.04</v>
      </c>
      <c r="J21" s="8"/>
      <c r="K21" s="12"/>
      <c r="L21" s="8"/>
      <c r="N21" s="17"/>
    </row>
    <row r="22" spans="1:11" ht="12" customHeight="1">
      <c r="A22" s="1"/>
      <c r="B22" s="4"/>
      <c r="C22" s="4"/>
      <c r="D22" s="4"/>
      <c r="E22" s="4"/>
      <c r="F22" s="13"/>
      <c r="G22" s="13"/>
      <c r="H22" s="2"/>
      <c r="I22" s="2"/>
      <c r="J22" s="3"/>
      <c r="K22" s="2"/>
    </row>
    <row r="23" spans="1:10" ht="12" customHeight="1">
      <c r="A23" s="22"/>
      <c r="B23" s="23"/>
      <c r="C23" s="22"/>
      <c r="D23" s="92"/>
      <c r="E23" s="23"/>
      <c r="F23" s="24"/>
      <c r="G23" s="25"/>
      <c r="H23" s="14"/>
      <c r="I23" s="14"/>
      <c r="J23" s="14"/>
    </row>
    <row r="24" spans="1:9" ht="15" customHeight="1">
      <c r="A24" s="106" t="s">
        <v>14</v>
      </c>
      <c r="B24" s="106" t="s">
        <v>34</v>
      </c>
      <c r="C24" s="106" t="s">
        <v>88</v>
      </c>
      <c r="D24" s="19">
        <v>40909</v>
      </c>
      <c r="E24" s="19">
        <v>41275</v>
      </c>
      <c r="F24" s="109" t="s">
        <v>28</v>
      </c>
      <c r="G24" s="111" t="s">
        <v>29</v>
      </c>
      <c r="H24" s="6"/>
      <c r="I24" s="6"/>
    </row>
    <row r="25" spans="1:9" ht="15" customHeight="1">
      <c r="A25" s="107"/>
      <c r="B25" s="108"/>
      <c r="C25" s="108"/>
      <c r="D25" s="113" t="s">
        <v>26</v>
      </c>
      <c r="E25" s="110" t="s">
        <v>26</v>
      </c>
      <c r="F25" s="110"/>
      <c r="G25" s="112"/>
      <c r="H25" s="90" t="e">
        <f>D21-40233832</f>
        <v>#REF!</v>
      </c>
      <c r="I25" s="11"/>
    </row>
    <row r="26" spans="1:10" ht="15" customHeight="1">
      <c r="A26" s="107"/>
      <c r="B26" s="108"/>
      <c r="C26" s="108"/>
      <c r="D26" s="109"/>
      <c r="E26" s="110"/>
      <c r="F26" s="110"/>
      <c r="G26" s="112"/>
      <c r="H26" s="11"/>
      <c r="I26" s="11"/>
      <c r="J26" s="15"/>
    </row>
    <row r="27" spans="1:10" ht="15" customHeight="1">
      <c r="A27" s="20" t="s">
        <v>15</v>
      </c>
      <c r="B27" s="34">
        <v>2100290</v>
      </c>
      <c r="C27" s="34">
        <v>1884258</v>
      </c>
      <c r="D27" s="35" t="e">
        <f>#REF!</f>
        <v>#REF!</v>
      </c>
      <c r="E27" s="35">
        <f>'2013 PROFIT &amp; LOSSES'!B28</f>
        <v>36444.65</v>
      </c>
      <c r="F27" s="35" t="e">
        <f aca="true" t="shared" si="2" ref="F27:F40">E27-D27</f>
        <v>#REF!</v>
      </c>
      <c r="G27" s="21">
        <f>E27/C27</f>
        <v>0.01934164535854432</v>
      </c>
      <c r="H27" s="8"/>
      <c r="I27" s="12"/>
      <c r="J27" s="15"/>
    </row>
    <row r="28" spans="1:10" ht="15" customHeight="1">
      <c r="A28" s="20" t="s">
        <v>16</v>
      </c>
      <c r="B28" s="34">
        <v>1787221</v>
      </c>
      <c r="C28" s="34">
        <v>2054581</v>
      </c>
      <c r="D28" s="35" t="e">
        <f>#REF!</f>
        <v>#REF!</v>
      </c>
      <c r="E28" s="35">
        <f>'2013 PROFIT &amp; LOSSES'!B32</f>
        <v>36612.76</v>
      </c>
      <c r="F28" s="35" t="e">
        <f>E28-D28</f>
        <v>#REF!</v>
      </c>
      <c r="G28" s="21">
        <f aca="true" t="shared" si="3" ref="G28:G40">E28/C28</f>
        <v>0.01782006160866863</v>
      </c>
      <c r="H28" s="8"/>
      <c r="I28" s="9"/>
      <c r="J28" s="15"/>
    </row>
    <row r="29" spans="1:10" ht="15" customHeight="1">
      <c r="A29" s="20" t="s">
        <v>87</v>
      </c>
      <c r="B29" s="34">
        <v>696162</v>
      </c>
      <c r="C29" s="34">
        <v>585246</v>
      </c>
      <c r="D29" s="35" t="e">
        <f>#REF!</f>
        <v>#REF!</v>
      </c>
      <c r="E29" s="35">
        <f>'2013 PROFIT &amp; LOSSES'!B36</f>
        <v>12068.6</v>
      </c>
      <c r="F29" s="35" t="e">
        <f t="shared" si="2"/>
        <v>#REF!</v>
      </c>
      <c r="G29" s="21">
        <f t="shared" si="3"/>
        <v>0.02062141390116293</v>
      </c>
      <c r="H29" s="8"/>
      <c r="I29" s="9"/>
      <c r="J29" s="15"/>
    </row>
    <row r="30" spans="1:10" ht="15" customHeight="1">
      <c r="A30" s="20" t="s">
        <v>17</v>
      </c>
      <c r="B30" s="34">
        <v>7986645</v>
      </c>
      <c r="C30" s="34">
        <v>7653505</v>
      </c>
      <c r="D30" s="35" t="e">
        <f>#REF!</f>
        <v>#REF!</v>
      </c>
      <c r="E30" s="35">
        <f>'2013 PROFIT &amp; LOSSES'!B40</f>
        <v>167059.18</v>
      </c>
      <c r="F30" s="35" t="e">
        <f t="shared" si="2"/>
        <v>#REF!</v>
      </c>
      <c r="G30" s="21">
        <f t="shared" si="3"/>
        <v>0.02182780046527702</v>
      </c>
      <c r="H30" s="8"/>
      <c r="I30" s="9"/>
      <c r="J30" s="15"/>
    </row>
    <row r="31" spans="1:10" ht="15" customHeight="1">
      <c r="A31" s="20" t="s">
        <v>18</v>
      </c>
      <c r="B31" s="34">
        <v>20027575</v>
      </c>
      <c r="C31" s="34">
        <v>0</v>
      </c>
      <c r="D31" s="35" t="e">
        <f>#REF!</f>
        <v>#REF!</v>
      </c>
      <c r="E31" s="35"/>
      <c r="F31" s="35" t="e">
        <f t="shared" si="2"/>
        <v>#REF!</v>
      </c>
      <c r="G31" s="21">
        <v>0</v>
      </c>
      <c r="H31" s="8"/>
      <c r="I31" s="9"/>
      <c r="J31" s="15"/>
    </row>
    <row r="32" spans="1:10" ht="15" customHeight="1">
      <c r="A32" s="20" t="s">
        <v>93</v>
      </c>
      <c r="B32" s="34">
        <v>0</v>
      </c>
      <c r="C32" s="34">
        <v>10504913</v>
      </c>
      <c r="D32" s="35">
        <v>0</v>
      </c>
      <c r="E32" s="35">
        <f>'2013 PROFIT &amp; LOSSES'!B48</f>
        <v>122305.68000000001</v>
      </c>
      <c r="F32" s="35"/>
      <c r="G32" s="21">
        <f>E32/C32</f>
        <v>0.011642712319464236</v>
      </c>
      <c r="H32" s="8"/>
      <c r="I32" s="9"/>
      <c r="J32" s="15"/>
    </row>
    <row r="33" spans="1:10" ht="15" customHeight="1">
      <c r="A33" s="20" t="s">
        <v>94</v>
      </c>
      <c r="B33" s="34">
        <v>0</v>
      </c>
      <c r="C33" s="34">
        <f>8611145+592000</f>
        <v>9203145</v>
      </c>
      <c r="D33" s="35">
        <v>0</v>
      </c>
      <c r="E33" s="35">
        <f>'2013 PROFIT &amp; LOSSES'!B52+'2013 PROFIT &amp; LOSSES'!B56</f>
        <v>126606.23</v>
      </c>
      <c r="F33" s="35"/>
      <c r="G33" s="21">
        <f>E33/C33</f>
        <v>0.01375684399191798</v>
      </c>
      <c r="H33" s="8"/>
      <c r="I33" s="9"/>
      <c r="J33" s="15"/>
    </row>
    <row r="34" spans="1:10" ht="15" customHeight="1">
      <c r="A34" s="20" t="s">
        <v>19</v>
      </c>
      <c r="B34" s="34">
        <v>200000</v>
      </c>
      <c r="C34" s="34">
        <v>250000</v>
      </c>
      <c r="D34" s="35" t="e">
        <f>#REF!</f>
        <v>#REF!</v>
      </c>
      <c r="E34" s="35">
        <f>'2013 PROFIT &amp; LOSSES'!B60</f>
        <v>0</v>
      </c>
      <c r="F34" s="35" t="e">
        <f t="shared" si="2"/>
        <v>#REF!</v>
      </c>
      <c r="G34" s="21">
        <f t="shared" si="3"/>
        <v>0</v>
      </c>
      <c r="H34" s="8"/>
      <c r="I34" s="9"/>
      <c r="J34" s="15"/>
    </row>
    <row r="35" spans="1:10" ht="15" customHeight="1">
      <c r="A35" s="91" t="s">
        <v>35</v>
      </c>
      <c r="B35" s="34">
        <v>2707564</v>
      </c>
      <c r="C35" s="34">
        <v>3046935</v>
      </c>
      <c r="D35" s="35" t="e">
        <f>#REF!</f>
        <v>#REF!</v>
      </c>
      <c r="E35" s="35">
        <f>'2013 PROFIT &amp; LOSSES'!B44</f>
        <v>22375.510000000002</v>
      </c>
      <c r="F35" s="35" t="e">
        <f t="shared" si="2"/>
        <v>#REF!</v>
      </c>
      <c r="G35" s="21">
        <f t="shared" si="3"/>
        <v>0.0073436125155279</v>
      </c>
      <c r="H35" s="8"/>
      <c r="I35" s="9"/>
      <c r="J35" s="15"/>
    </row>
    <row r="36" spans="1:10" ht="15" customHeight="1">
      <c r="A36" s="20" t="s">
        <v>20</v>
      </c>
      <c r="B36" s="34">
        <v>9633492</v>
      </c>
      <c r="C36" s="34">
        <v>9514640</v>
      </c>
      <c r="D36" s="35" t="e">
        <f>#REF!</f>
        <v>#REF!</v>
      </c>
      <c r="E36" s="35">
        <f>'2013 PROFIT &amp; LOSSES'!B62</f>
        <v>194768.59</v>
      </c>
      <c r="F36" s="35" t="e">
        <f t="shared" si="2"/>
        <v>#REF!</v>
      </c>
      <c r="G36" s="21">
        <f t="shared" si="3"/>
        <v>0.020470410861577526</v>
      </c>
      <c r="H36" s="8"/>
      <c r="I36" s="9"/>
      <c r="J36" s="15"/>
    </row>
    <row r="37" spans="1:10" ht="15" customHeight="1">
      <c r="A37" s="20" t="s">
        <v>21</v>
      </c>
      <c r="B37" s="34">
        <v>1429731</v>
      </c>
      <c r="C37" s="34">
        <v>1365971</v>
      </c>
      <c r="D37" s="35" t="e">
        <f>#REF!</f>
        <v>#REF!</v>
      </c>
      <c r="E37" s="35">
        <f>'2013 PROFIT &amp; LOSSES'!B66</f>
        <v>30507.210000000003</v>
      </c>
      <c r="F37" s="35" t="e">
        <f t="shared" si="2"/>
        <v>#REF!</v>
      </c>
      <c r="G37" s="21">
        <f t="shared" si="3"/>
        <v>0.022333717187260932</v>
      </c>
      <c r="H37" s="8"/>
      <c r="I37" s="9"/>
      <c r="J37" s="15"/>
    </row>
    <row r="38" spans="1:10" ht="15" customHeight="1">
      <c r="A38" s="20" t="s">
        <v>22</v>
      </c>
      <c r="B38" s="34">
        <v>1735303</v>
      </c>
      <c r="C38" s="34">
        <v>1813531</v>
      </c>
      <c r="D38" s="35" t="e">
        <f>#REF!</f>
        <v>#REF!</v>
      </c>
      <c r="E38" s="35">
        <f>'2013 PROFIT &amp; LOSSES'!B70</f>
        <v>43868.26</v>
      </c>
      <c r="F38" s="35" t="e">
        <f t="shared" si="2"/>
        <v>#REF!</v>
      </c>
      <c r="G38" s="21">
        <f t="shared" si="3"/>
        <v>0.024189418322598293</v>
      </c>
      <c r="H38" s="8"/>
      <c r="I38" s="9"/>
      <c r="J38" s="16"/>
    </row>
    <row r="39" spans="1:10" ht="15" customHeight="1">
      <c r="A39" s="20" t="s">
        <v>23</v>
      </c>
      <c r="B39" s="34">
        <v>2709420</v>
      </c>
      <c r="C39" s="34">
        <v>3415000</v>
      </c>
      <c r="D39" s="35" t="e">
        <f>#REF!</f>
        <v>#REF!</v>
      </c>
      <c r="E39" s="35">
        <f>'2013 PROFIT &amp; LOSSES'!B74</f>
        <v>3754</v>
      </c>
      <c r="F39" s="35" t="e">
        <f t="shared" si="2"/>
        <v>#REF!</v>
      </c>
      <c r="G39" s="21">
        <f t="shared" si="3"/>
        <v>0.0010992679355783309</v>
      </c>
      <c r="H39" s="8"/>
      <c r="I39" s="9"/>
      <c r="J39" s="16"/>
    </row>
    <row r="40" spans="1:9" ht="15" customHeight="1">
      <c r="A40" s="26" t="s">
        <v>24</v>
      </c>
      <c r="B40" s="36">
        <v>7000000</v>
      </c>
      <c r="C40" s="36">
        <v>1550000</v>
      </c>
      <c r="D40" s="37">
        <v>0</v>
      </c>
      <c r="E40" s="35">
        <v>0</v>
      </c>
      <c r="F40" s="35">
        <f t="shared" si="2"/>
        <v>0</v>
      </c>
      <c r="G40" s="28">
        <f t="shared" si="3"/>
        <v>0</v>
      </c>
      <c r="H40" s="3"/>
      <c r="I40" s="7"/>
    </row>
    <row r="41" spans="1:9" ht="15" customHeight="1">
      <c r="A41" s="27"/>
      <c r="B41" s="38"/>
      <c r="C41" s="38"/>
      <c r="D41" s="39"/>
      <c r="E41" s="39"/>
      <c r="F41" s="39"/>
      <c r="G41" s="30"/>
      <c r="H41" s="3"/>
      <c r="I41" s="7"/>
    </row>
    <row r="42" spans="1:10" s="10" customFormat="1" ht="18" customHeight="1">
      <c r="A42" s="18" t="s">
        <v>27</v>
      </c>
      <c r="B42" s="40">
        <f>SUM(B27:B40)</f>
        <v>58013403</v>
      </c>
      <c r="C42" s="40">
        <f>SUM(C27:C40)</f>
        <v>52841725</v>
      </c>
      <c r="D42" s="41" t="e">
        <f>SUM(D27:D40)</f>
        <v>#REF!</v>
      </c>
      <c r="E42" s="41">
        <f>SUM(E27:E40)</f>
        <v>796370.6699999999</v>
      </c>
      <c r="F42" s="41" t="e">
        <f>SUM(F27:F40)</f>
        <v>#REF!</v>
      </c>
      <c r="G42" s="29">
        <f>E42/C42</f>
        <v>0.015070868144444563</v>
      </c>
      <c r="J42" s="16"/>
    </row>
    <row r="43" spans="2:6" ht="12.75">
      <c r="B43" s="46"/>
      <c r="C43" s="46"/>
      <c r="D43" s="46"/>
      <c r="E43" s="46"/>
      <c r="F43" s="46"/>
    </row>
    <row r="44" spans="2:6" ht="12.75">
      <c r="B44" s="46"/>
      <c r="C44" s="46"/>
      <c r="D44" s="46"/>
      <c r="E44" s="46"/>
      <c r="F44" s="46"/>
    </row>
    <row r="45" spans="2:6" ht="12.75">
      <c r="B45" s="46"/>
      <c r="C45" s="46"/>
      <c r="D45" s="46"/>
      <c r="E45" s="46"/>
      <c r="F45" s="46"/>
    </row>
    <row r="46" spans="2:6" ht="12.75">
      <c r="B46" s="46"/>
      <c r="C46" s="46"/>
      <c r="D46" s="46"/>
      <c r="E46" s="46"/>
      <c r="F46" s="46"/>
    </row>
    <row r="47" spans="2:6" ht="12.75">
      <c r="B47" s="46"/>
      <c r="C47" s="46"/>
      <c r="D47" s="46"/>
      <c r="E47" s="46"/>
      <c r="F47" s="46"/>
    </row>
    <row r="48" spans="2:6" ht="12.75">
      <c r="B48" s="46"/>
      <c r="C48" s="46"/>
      <c r="D48" s="46"/>
      <c r="E48" s="46"/>
      <c r="F48" s="46"/>
    </row>
    <row r="49" spans="2:8" ht="12.75">
      <c r="B49" s="46"/>
      <c r="C49" s="46"/>
      <c r="D49" s="46"/>
      <c r="E49" s="46"/>
      <c r="F49" s="46"/>
      <c r="H49" s="33"/>
    </row>
    <row r="50" spans="2:8" ht="12.75">
      <c r="B50" s="46"/>
      <c r="C50" s="46"/>
      <c r="D50" s="46"/>
      <c r="E50" s="46"/>
      <c r="F50" s="46"/>
      <c r="H50" s="33"/>
    </row>
    <row r="51" spans="2:8" ht="12.75">
      <c r="B51" s="46"/>
      <c r="C51" s="46"/>
      <c r="D51" s="46"/>
      <c r="E51" s="46"/>
      <c r="F51" s="46"/>
      <c r="H51" s="33"/>
    </row>
  </sheetData>
  <sheetProtection/>
  <mergeCells count="14">
    <mergeCell ref="A24:A26"/>
    <mergeCell ref="B24:B26"/>
    <mergeCell ref="C24:C26"/>
    <mergeCell ref="F24:F26"/>
    <mergeCell ref="G24:G26"/>
    <mergeCell ref="D25:D26"/>
    <mergeCell ref="E25:E26"/>
    <mergeCell ref="A1:A3"/>
    <mergeCell ref="B1:B3"/>
    <mergeCell ref="C1:C3"/>
    <mergeCell ref="F1:F3"/>
    <mergeCell ref="G1:G3"/>
    <mergeCell ref="D2:D3"/>
    <mergeCell ref="E2:E3"/>
  </mergeCells>
  <printOptions horizontalCentered="1" verticalCentered="1"/>
  <pageMargins left="0.5" right="0.5" top="1" bottom="0.5" header="0.25" footer="0.3"/>
  <pageSetup fitToHeight="1" fitToWidth="1" horizontalDpi="300" verticalDpi="300" orientation="landscape" scale="92" r:id="rId1"/>
  <headerFooter>
    <oddHeader>&amp;C&amp;"-,Bold"&amp;12Forest Preserve District of Cook County
Corporate Fund Analysis of Revenue and Expense
As of November 30, 2012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V87"/>
  <sheetViews>
    <sheetView zoomScalePageLayoutView="85" workbookViewId="0" topLeftCell="A1">
      <pane xSplit="1" ySplit="2" topLeftCell="B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A1" sqref="A1"/>
    </sheetView>
  </sheetViews>
  <sheetFormatPr defaultColWidth="11.421875" defaultRowHeight="15"/>
  <cols>
    <col min="1" max="1" width="32.7109375" style="47" customWidth="1"/>
    <col min="2" max="2" width="11.7109375" style="47" customWidth="1"/>
    <col min="3" max="3" width="0.71875" style="74" customWidth="1"/>
    <col min="4" max="4" width="11.28125" style="47" customWidth="1"/>
    <col min="5" max="5" width="0.71875" style="79" customWidth="1"/>
    <col min="6" max="6" width="11.28125" style="47" customWidth="1"/>
    <col min="7" max="7" width="0.71875" style="47" customWidth="1"/>
    <col min="8" max="8" width="11.7109375" style="47" customWidth="1"/>
    <col min="9" max="9" width="0.71875" style="74" customWidth="1"/>
    <col min="10" max="10" width="11.7109375" style="47" customWidth="1"/>
    <col min="11" max="11" width="0.71875" style="47" customWidth="1"/>
    <col min="12" max="12" width="11.7109375" style="47" customWidth="1"/>
    <col min="13" max="13" width="0.71875" style="74" customWidth="1"/>
    <col min="14" max="14" width="11.7109375" style="47" customWidth="1"/>
    <col min="15" max="15" width="0.71875" style="79" customWidth="1"/>
    <col min="16" max="16" width="11.7109375" style="47" customWidth="1"/>
    <col min="17" max="17" width="0.71875" style="74" customWidth="1"/>
    <col min="18" max="18" width="11.7109375" style="47" customWidth="1"/>
    <col min="19" max="19" width="0.71875" style="74" customWidth="1"/>
    <col min="20" max="20" width="11.7109375" style="47" customWidth="1"/>
    <col min="21" max="21" width="0.71875" style="74" customWidth="1"/>
    <col min="22" max="22" width="14.140625" style="47" customWidth="1"/>
    <col min="23" max="23" width="0.9921875" style="74" customWidth="1"/>
    <col min="24" max="24" width="32.7109375" style="47" customWidth="1"/>
    <col min="25" max="25" width="11.7109375" style="47" customWidth="1"/>
    <col min="26" max="26" width="0.71875" style="74" customWidth="1"/>
    <col min="27" max="27" width="11.7109375" style="47" customWidth="1"/>
    <col min="28" max="28" width="0.71875" style="74" customWidth="1"/>
    <col min="29" max="29" width="11.7109375" style="47" customWidth="1"/>
    <col min="30" max="30" width="0.71875" style="74" customWidth="1"/>
    <col min="31" max="31" width="12.7109375" style="47" customWidth="1"/>
    <col min="32" max="32" width="0.71875" style="74" customWidth="1"/>
    <col min="33" max="33" width="11.7109375" style="47" customWidth="1"/>
    <col min="34" max="34" width="0.71875" style="74" customWidth="1"/>
    <col min="35" max="35" width="11.7109375" style="47" customWidth="1"/>
    <col min="36" max="36" width="0.71875" style="74" customWidth="1"/>
    <col min="37" max="37" width="12.28125" style="47" customWidth="1"/>
    <col min="38" max="38" width="0.71875" style="74" customWidth="1"/>
    <col min="39" max="39" width="11.7109375" style="47" customWidth="1"/>
    <col min="40" max="40" width="0.71875" style="74" customWidth="1"/>
    <col min="41" max="41" width="11.7109375" style="47" customWidth="1"/>
    <col min="42" max="42" width="0.71875" style="74" customWidth="1"/>
    <col min="43" max="43" width="11.7109375" style="47" customWidth="1"/>
    <col min="44" max="44" width="0.71875" style="47" customWidth="1"/>
    <col min="45" max="45" width="11.7109375" style="47" customWidth="1"/>
    <col min="46" max="46" width="0.71875" style="74" customWidth="1"/>
    <col min="47" max="47" width="11.7109375" style="47" customWidth="1"/>
    <col min="48" max="48" width="13.28125" style="47" customWidth="1"/>
    <col min="49" max="16384" width="11.421875" style="47" customWidth="1"/>
  </cols>
  <sheetData>
    <row r="1" spans="2:53" ht="15.75">
      <c r="B1" s="80" t="s">
        <v>69</v>
      </c>
      <c r="C1" s="81"/>
      <c r="D1" s="104" t="s">
        <v>70</v>
      </c>
      <c r="E1" s="104"/>
      <c r="F1" s="105"/>
      <c r="G1" s="82"/>
      <c r="H1" s="104" t="s">
        <v>71</v>
      </c>
      <c r="I1" s="104"/>
      <c r="J1" s="105"/>
      <c r="K1" s="82"/>
      <c r="L1" s="104" t="s">
        <v>66</v>
      </c>
      <c r="M1" s="104"/>
      <c r="N1" s="105"/>
      <c r="O1" s="83"/>
      <c r="P1" s="104" t="s">
        <v>72</v>
      </c>
      <c r="Q1" s="104"/>
      <c r="R1" s="105"/>
      <c r="S1" s="83"/>
      <c r="T1" s="104" t="s">
        <v>73</v>
      </c>
      <c r="U1" s="104"/>
      <c r="V1" s="105"/>
      <c r="W1" s="83"/>
      <c r="Y1" s="104" t="s">
        <v>74</v>
      </c>
      <c r="Z1" s="104"/>
      <c r="AA1" s="105"/>
      <c r="AB1" s="83"/>
      <c r="AC1" s="104" t="s">
        <v>75</v>
      </c>
      <c r="AD1" s="104"/>
      <c r="AE1" s="105"/>
      <c r="AF1" s="83"/>
      <c r="AG1" s="104" t="s">
        <v>76</v>
      </c>
      <c r="AH1" s="104"/>
      <c r="AI1" s="105"/>
      <c r="AJ1" s="83"/>
      <c r="AK1" s="104" t="s">
        <v>77</v>
      </c>
      <c r="AL1" s="104"/>
      <c r="AM1" s="104"/>
      <c r="AN1" s="81"/>
      <c r="AO1" s="104" t="s">
        <v>78</v>
      </c>
      <c r="AP1" s="104"/>
      <c r="AQ1" s="105"/>
      <c r="AR1" s="82"/>
      <c r="AS1" s="104" t="s">
        <v>79</v>
      </c>
      <c r="AT1" s="104"/>
      <c r="AU1" s="105"/>
      <c r="AV1" s="48"/>
      <c r="AW1" s="48"/>
      <c r="AX1" s="48"/>
      <c r="AY1" s="48"/>
      <c r="AZ1" s="48"/>
      <c r="BA1" s="48"/>
    </row>
    <row r="2" spans="1:47" ht="15" customHeight="1">
      <c r="A2" s="53"/>
      <c r="B2" s="75" t="s">
        <v>65</v>
      </c>
      <c r="C2" s="70"/>
      <c r="D2" s="76" t="s">
        <v>65</v>
      </c>
      <c r="E2" s="78"/>
      <c r="F2" s="77" t="s">
        <v>67</v>
      </c>
      <c r="G2" s="63"/>
      <c r="H2" s="76" t="s">
        <v>65</v>
      </c>
      <c r="I2" s="78"/>
      <c r="J2" s="77" t="s">
        <v>67</v>
      </c>
      <c r="K2" s="63"/>
      <c r="L2" s="76" t="s">
        <v>65</v>
      </c>
      <c r="M2" s="78"/>
      <c r="N2" s="77" t="s">
        <v>67</v>
      </c>
      <c r="O2" s="78"/>
      <c r="P2" s="76" t="s">
        <v>65</v>
      </c>
      <c r="Q2" s="78"/>
      <c r="R2" s="77" t="s">
        <v>67</v>
      </c>
      <c r="S2" s="78"/>
      <c r="T2" s="76" t="s">
        <v>65</v>
      </c>
      <c r="U2" s="78"/>
      <c r="V2" s="77" t="s">
        <v>67</v>
      </c>
      <c r="W2" s="78"/>
      <c r="X2" s="53"/>
      <c r="Y2" s="76" t="s">
        <v>65</v>
      </c>
      <c r="Z2" s="78"/>
      <c r="AA2" s="77" t="s">
        <v>67</v>
      </c>
      <c r="AB2" s="78"/>
      <c r="AC2" s="76" t="s">
        <v>65</v>
      </c>
      <c r="AD2" s="78"/>
      <c r="AE2" s="77" t="s">
        <v>67</v>
      </c>
      <c r="AF2" s="78"/>
      <c r="AG2" s="76" t="s">
        <v>65</v>
      </c>
      <c r="AH2" s="78"/>
      <c r="AI2" s="77" t="s">
        <v>67</v>
      </c>
      <c r="AJ2" s="78"/>
      <c r="AK2" s="76" t="s">
        <v>65</v>
      </c>
      <c r="AL2" s="78"/>
      <c r="AM2" s="77" t="s">
        <v>67</v>
      </c>
      <c r="AN2" s="78"/>
      <c r="AO2" s="76" t="s">
        <v>65</v>
      </c>
      <c r="AP2" s="78"/>
      <c r="AQ2" s="77" t="s">
        <v>67</v>
      </c>
      <c r="AR2" s="63"/>
      <c r="AS2" s="76" t="s">
        <v>65</v>
      </c>
      <c r="AT2" s="78"/>
      <c r="AU2" s="77" t="s">
        <v>67</v>
      </c>
    </row>
    <row r="3" spans="1:47" ht="15" customHeight="1">
      <c r="A3" s="52" t="s">
        <v>36</v>
      </c>
      <c r="B3" s="61"/>
      <c r="C3" s="72"/>
      <c r="D3" s="61"/>
      <c r="E3" s="72"/>
      <c r="F3" s="65"/>
      <c r="G3" s="65"/>
      <c r="H3" s="61"/>
      <c r="I3" s="72"/>
      <c r="J3" s="65"/>
      <c r="K3" s="65"/>
      <c r="L3" s="61" t="s">
        <v>64</v>
      </c>
      <c r="M3" s="72"/>
      <c r="N3" s="65"/>
      <c r="O3" s="72"/>
      <c r="P3" s="61" t="s">
        <v>64</v>
      </c>
      <c r="Q3" s="72"/>
      <c r="R3" s="65"/>
      <c r="S3" s="72"/>
      <c r="T3" s="61" t="s">
        <v>64</v>
      </c>
      <c r="U3" s="72"/>
      <c r="V3" s="65"/>
      <c r="W3" s="72"/>
      <c r="X3" s="52" t="s">
        <v>36</v>
      </c>
      <c r="Y3" s="61" t="s">
        <v>64</v>
      </c>
      <c r="Z3" s="72"/>
      <c r="AA3" s="65"/>
      <c r="AB3" s="72"/>
      <c r="AC3" s="61" t="s">
        <v>64</v>
      </c>
      <c r="AD3" s="72"/>
      <c r="AE3" s="65"/>
      <c r="AF3" s="72"/>
      <c r="AG3" s="61" t="s">
        <v>64</v>
      </c>
      <c r="AH3" s="72"/>
      <c r="AI3" s="65"/>
      <c r="AJ3" s="72"/>
      <c r="AK3" s="61" t="s">
        <v>64</v>
      </c>
      <c r="AL3" s="72"/>
      <c r="AM3" s="65"/>
      <c r="AN3" s="72"/>
      <c r="AO3" s="61" t="s">
        <v>64</v>
      </c>
      <c r="AP3" s="72"/>
      <c r="AQ3" s="65"/>
      <c r="AR3" s="65"/>
      <c r="AS3" s="61" t="s">
        <v>64</v>
      </c>
      <c r="AT3" s="72"/>
      <c r="AU3" s="65"/>
    </row>
    <row r="4" spans="1:47" ht="12" customHeight="1">
      <c r="A4" s="52"/>
      <c r="B4" s="61"/>
      <c r="C4" s="72"/>
      <c r="D4" s="61"/>
      <c r="E4" s="72"/>
      <c r="F4" s="65"/>
      <c r="G4" s="65"/>
      <c r="H4" s="61"/>
      <c r="I4" s="72"/>
      <c r="J4" s="65"/>
      <c r="K4" s="65"/>
      <c r="L4" s="61"/>
      <c r="M4" s="72"/>
      <c r="N4" s="65"/>
      <c r="O4" s="72"/>
      <c r="P4" s="61"/>
      <c r="Q4" s="72"/>
      <c r="R4" s="65"/>
      <c r="S4" s="72"/>
      <c r="T4" s="61"/>
      <c r="U4" s="72"/>
      <c r="V4" s="65"/>
      <c r="W4" s="72"/>
      <c r="X4" s="52"/>
      <c r="Y4" s="61"/>
      <c r="Z4" s="72"/>
      <c r="AA4" s="65"/>
      <c r="AB4" s="72"/>
      <c r="AC4" s="61"/>
      <c r="AD4" s="72"/>
      <c r="AE4" s="65"/>
      <c r="AF4" s="72"/>
      <c r="AG4" s="61"/>
      <c r="AH4" s="72"/>
      <c r="AI4" s="65"/>
      <c r="AJ4" s="72"/>
      <c r="AK4" s="61"/>
      <c r="AL4" s="72"/>
      <c r="AM4" s="65"/>
      <c r="AN4" s="72"/>
      <c r="AO4" s="61"/>
      <c r="AP4" s="72"/>
      <c r="AQ4" s="65"/>
      <c r="AR4" s="65"/>
      <c r="AS4" s="61"/>
      <c r="AT4" s="72"/>
      <c r="AU4" s="65"/>
    </row>
    <row r="5" spans="1:47" ht="12.75" customHeight="1">
      <c r="A5" s="52" t="s">
        <v>61</v>
      </c>
      <c r="B5" s="62">
        <f>B7+B6</f>
        <v>247788.7</v>
      </c>
      <c r="C5" s="73"/>
      <c r="D5" s="62">
        <f>F5-B5</f>
        <v>4598999.04</v>
      </c>
      <c r="E5" s="69"/>
      <c r="F5" s="62">
        <f>F7+F6</f>
        <v>4846787.74</v>
      </c>
      <c r="G5" s="59"/>
      <c r="H5" s="62">
        <f>J5-F5</f>
        <v>13699635.069999998</v>
      </c>
      <c r="I5" s="73"/>
      <c r="J5" s="62">
        <f>J7+J6</f>
        <v>18546422.81</v>
      </c>
      <c r="K5" s="59"/>
      <c r="L5" s="58"/>
      <c r="M5" s="73"/>
      <c r="N5" s="62">
        <f>N7+N6</f>
        <v>18893009.03</v>
      </c>
      <c r="O5" s="73"/>
      <c r="P5" s="58"/>
      <c r="Q5" s="73"/>
      <c r="R5" s="62">
        <f>R7+R6</f>
        <v>19155218.57</v>
      </c>
      <c r="S5" s="73"/>
      <c r="T5" s="58"/>
      <c r="U5" s="73"/>
      <c r="V5" s="59">
        <f>V7+V6</f>
        <v>19128414.470000003</v>
      </c>
      <c r="W5" s="73"/>
      <c r="X5" s="52" t="s">
        <v>61</v>
      </c>
      <c r="Y5" s="58">
        <f>AA5-V5</f>
        <v>5469876.139999997</v>
      </c>
      <c r="Z5" s="73"/>
      <c r="AA5" s="59">
        <f>AA7+AA6</f>
        <v>24598290.61</v>
      </c>
      <c r="AB5" s="73"/>
      <c r="AC5" s="58">
        <f>AE5-AA5</f>
        <v>12893750.619999997</v>
      </c>
      <c r="AD5" s="73"/>
      <c r="AE5" s="59">
        <f>AE7+AE6</f>
        <v>37492041.23</v>
      </c>
      <c r="AF5" s="73"/>
      <c r="AG5" s="58">
        <f>AI5-AE5</f>
        <v>737100.8800000027</v>
      </c>
      <c r="AH5" s="73"/>
      <c r="AI5" s="59">
        <f>AI7+AI6</f>
        <v>38229142.11</v>
      </c>
      <c r="AJ5" s="73"/>
      <c r="AK5" s="62">
        <f>AM5-AI5</f>
        <v>866582.7299999967</v>
      </c>
      <c r="AL5" s="73"/>
      <c r="AM5" s="59">
        <f>AM7+AM6</f>
        <v>39095724.839999996</v>
      </c>
      <c r="AN5" s="73"/>
      <c r="AO5" s="58">
        <f>AQ5-AM5</f>
        <v>93612.3599999994</v>
      </c>
      <c r="AP5" s="73"/>
      <c r="AQ5" s="66">
        <f>AQ7+AQ6</f>
        <v>39189337.199999996</v>
      </c>
      <c r="AR5" s="66"/>
      <c r="AS5" s="58">
        <f>AU5-AQ5</f>
        <v>690153.9699999988</v>
      </c>
      <c r="AT5" s="73"/>
      <c r="AU5" s="66">
        <f>AU7+AU6</f>
        <v>39879491.169999994</v>
      </c>
    </row>
    <row r="6" spans="1:47" ht="12" customHeight="1">
      <c r="A6" s="53" t="s">
        <v>89</v>
      </c>
      <c r="B6" s="62">
        <v>0</v>
      </c>
      <c r="C6" s="69"/>
      <c r="D6" s="62">
        <f aca="true" t="shared" si="0" ref="D6:D22">F6-B6</f>
        <v>4397540.48</v>
      </c>
      <c r="E6" s="69"/>
      <c r="F6" s="67">
        <v>4397540.48</v>
      </c>
      <c r="G6" s="67"/>
      <c r="H6" s="62">
        <f aca="true" t="shared" si="1" ref="H6:H22">J6-F6</f>
        <v>14102476.719999999</v>
      </c>
      <c r="I6" s="69"/>
      <c r="J6" s="67">
        <v>18500017.2</v>
      </c>
      <c r="K6" s="67"/>
      <c r="L6" s="62">
        <f aca="true" t="shared" si="2" ref="L6:L22">N6-J6</f>
        <v>277592.97000000253</v>
      </c>
      <c r="M6" s="69"/>
      <c r="N6" s="67">
        <v>18777610.17</v>
      </c>
      <c r="O6" s="69"/>
      <c r="P6" s="62">
        <f>R6-N6</f>
        <v>225632.6099999994</v>
      </c>
      <c r="Q6" s="69"/>
      <c r="R6" s="67">
        <v>19003242.78</v>
      </c>
      <c r="S6" s="69"/>
      <c r="T6" s="62">
        <f>V6-R6</f>
        <v>0</v>
      </c>
      <c r="U6" s="69"/>
      <c r="V6" s="67">
        <v>19003242.78</v>
      </c>
      <c r="W6" s="69"/>
      <c r="X6" s="53" t="s">
        <v>95</v>
      </c>
      <c r="Y6" s="62">
        <f>AA6-V6</f>
        <v>5469420.579999998</v>
      </c>
      <c r="Z6" s="69"/>
      <c r="AA6" s="67">
        <f>25160626.53-687963.17</f>
        <v>24472663.36</v>
      </c>
      <c r="AB6" s="69"/>
      <c r="AC6" s="62">
        <f>AE6-AA6</f>
        <v>12798484.719999999</v>
      </c>
      <c r="AD6" s="69"/>
      <c r="AE6" s="67">
        <f>38616673.03-1345524.95</f>
        <v>37271148.08</v>
      </c>
      <c r="AF6" s="69"/>
      <c r="AG6" s="58">
        <f>AI6-AE6</f>
        <v>541923.6499999985</v>
      </c>
      <c r="AH6" s="69"/>
      <c r="AI6" s="67">
        <f>39171920.5-1358848.77</f>
        <v>37813071.73</v>
      </c>
      <c r="AJ6" s="69"/>
      <c r="AK6" s="62">
        <f>AM6-AI6</f>
        <v>1128597.8599999994</v>
      </c>
      <c r="AL6" s="69"/>
      <c r="AM6" s="67">
        <f>40331880.43-1390210.84</f>
        <v>38941669.589999996</v>
      </c>
      <c r="AN6" s="69"/>
      <c r="AO6" s="62">
        <f>AQ6-AM6</f>
        <v>223428.8900000006</v>
      </c>
      <c r="AP6" s="69"/>
      <c r="AQ6" s="67">
        <f>40569377.76+-1404279.28</f>
        <v>39165098.48</v>
      </c>
      <c r="AR6" s="67"/>
      <c r="AS6" s="58">
        <f>AU6-AQ6</f>
        <v>728203.7800000012</v>
      </c>
      <c r="AT6" s="69"/>
      <c r="AU6" s="94">
        <f>41329557.28-1436255.02</f>
        <v>39893302.26</v>
      </c>
    </row>
    <row r="7" spans="1:256" s="51" customFormat="1" ht="12" customHeight="1">
      <c r="A7" s="54" t="s">
        <v>37</v>
      </c>
      <c r="B7" s="62">
        <v>247788.7</v>
      </c>
      <c r="C7" s="69"/>
      <c r="D7" s="62">
        <f t="shared" si="0"/>
        <v>201458.55999999994</v>
      </c>
      <c r="E7" s="69"/>
      <c r="F7" s="68">
        <f>282872.41+138018.81+2082.41+58+26215.63</f>
        <v>449247.25999999995</v>
      </c>
      <c r="G7" s="68"/>
      <c r="H7" s="62">
        <f t="shared" si="1"/>
        <v>-402841.64999999997</v>
      </c>
      <c r="I7" s="69"/>
      <c r="J7" s="68">
        <f>297987.5-214259.86+3285.62-40665.65+58</f>
        <v>46405.61000000001</v>
      </c>
      <c r="K7" s="68"/>
      <c r="L7" s="62">
        <f t="shared" si="2"/>
        <v>68993.25</v>
      </c>
      <c r="M7" s="69"/>
      <c r="N7" s="68">
        <f>457700.74-298723.72+5426.87-49252.36+247.33</f>
        <v>115398.86000000002</v>
      </c>
      <c r="O7" s="69"/>
      <c r="P7" s="62">
        <f>R7-N7</f>
        <v>36576.93000000005</v>
      </c>
      <c r="Q7" s="69"/>
      <c r="R7" s="68">
        <f>551027.54-348617.25-57029.9+6289.98+305.42</f>
        <v>151975.79000000007</v>
      </c>
      <c r="S7" s="69"/>
      <c r="T7" s="62">
        <f>V7-R7</f>
        <v>-26804.100000000064</v>
      </c>
      <c r="U7" s="69"/>
      <c r="V7" s="68">
        <f>626311.78-438994.84+6848.24-69342.4+348.91</f>
        <v>125171.69</v>
      </c>
      <c r="W7" s="69"/>
      <c r="X7" s="54" t="s">
        <v>37</v>
      </c>
      <c r="Y7" s="62">
        <f>AA7-V7</f>
        <v>455.55999999993946</v>
      </c>
      <c r="Z7" s="69"/>
      <c r="AA7" s="68">
        <f>668178.19-477980.69+7602.31-72521.47+348.91</f>
        <v>125627.24999999994</v>
      </c>
      <c r="AB7" s="69"/>
      <c r="AC7" s="62">
        <f>AE7-AA7</f>
        <v>95265.90000000011</v>
      </c>
      <c r="AD7" s="69"/>
      <c r="AE7" s="68">
        <f>895495.16-597416.85+12275.3-89856.37+395.91</f>
        <v>220893.15000000005</v>
      </c>
      <c r="AF7" s="69"/>
      <c r="AG7" s="58">
        <f>AI7-AE7</f>
        <v>195177.22999999984</v>
      </c>
      <c r="AH7" s="69"/>
      <c r="AI7" s="68">
        <f>433.85-145947.73+14396.11-669232.55+1216420.7</f>
        <v>416070.3799999999</v>
      </c>
      <c r="AJ7" s="69"/>
      <c r="AK7" s="62">
        <f>AM7-AI7</f>
        <v>-262015.12999999983</v>
      </c>
      <c r="AL7" s="69"/>
      <c r="AM7" s="68">
        <f>1289153.77-777065.01+15267.54-374031.19+730.14</f>
        <v>154055.25000000006</v>
      </c>
      <c r="AN7" s="69"/>
      <c r="AO7" s="62">
        <f>AQ7-AM7</f>
        <v>-129816.53000000016</v>
      </c>
      <c r="AP7" s="69"/>
      <c r="AQ7" s="68">
        <f>1303433.15-895734.48+17129.18-401363.14+774.01</f>
        <v>24238.719999999903</v>
      </c>
      <c r="AR7" s="68"/>
      <c r="AS7" s="58">
        <f>AU7-AQ7</f>
        <v>-38049.809999999816</v>
      </c>
      <c r="AT7" s="69"/>
      <c r="AU7" s="67">
        <f>1334225.61-967230.16+24174.83-405843+861.63</f>
        <v>-13811.089999999915</v>
      </c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</row>
    <row r="8" spans="1:48" ht="12" customHeight="1">
      <c r="A8" s="53" t="s">
        <v>38</v>
      </c>
      <c r="B8" s="62">
        <v>144999.6</v>
      </c>
      <c r="C8" s="69"/>
      <c r="D8" s="62">
        <f t="shared" si="0"/>
        <v>0</v>
      </c>
      <c r="E8" s="69"/>
      <c r="F8" s="67">
        <v>144999.6</v>
      </c>
      <c r="G8" s="67"/>
      <c r="H8" s="62">
        <f t="shared" si="1"/>
        <v>64745.880000000005</v>
      </c>
      <c r="I8" s="69"/>
      <c r="J8" s="67">
        <v>209745.48</v>
      </c>
      <c r="K8" s="67"/>
      <c r="L8" s="62">
        <f t="shared" si="2"/>
        <v>210541.23999999996</v>
      </c>
      <c r="M8" s="69"/>
      <c r="N8" s="67">
        <v>420286.72</v>
      </c>
      <c r="O8" s="69"/>
      <c r="P8" s="62">
        <f>R8-N8</f>
        <v>207436.69000000006</v>
      </c>
      <c r="Q8" s="69"/>
      <c r="R8" s="67">
        <v>627723.41</v>
      </c>
      <c r="S8" s="69"/>
      <c r="T8" s="62">
        <f>V8-R8</f>
        <v>0</v>
      </c>
      <c r="U8" s="69"/>
      <c r="V8" s="67">
        <v>627723.41</v>
      </c>
      <c r="W8" s="69"/>
      <c r="X8" s="53" t="s">
        <v>38</v>
      </c>
      <c r="Y8" s="62">
        <f>AA8-V8</f>
        <v>202686.69999999995</v>
      </c>
      <c r="Z8" s="69"/>
      <c r="AA8" s="67">
        <v>830410.11</v>
      </c>
      <c r="AB8" s="69"/>
      <c r="AC8" s="62">
        <f>AE8-AA8</f>
        <v>135450.79000000004</v>
      </c>
      <c r="AD8" s="69"/>
      <c r="AE8" s="67">
        <v>965860.9</v>
      </c>
      <c r="AF8" s="69"/>
      <c r="AG8" s="58">
        <f>AI8-AE8</f>
        <v>0</v>
      </c>
      <c r="AH8" s="69"/>
      <c r="AI8" s="67">
        <v>965860.9</v>
      </c>
      <c r="AJ8" s="69"/>
      <c r="AK8" s="62">
        <f>AM8-AI8</f>
        <v>1107047.9500000002</v>
      </c>
      <c r="AL8" s="69"/>
      <c r="AM8" s="67">
        <v>2072908.85</v>
      </c>
      <c r="AN8" s="69"/>
      <c r="AO8" s="62">
        <f>AQ8-AM8</f>
        <v>0</v>
      </c>
      <c r="AP8" s="69"/>
      <c r="AQ8" s="68">
        <v>2072908.85</v>
      </c>
      <c r="AR8" s="68"/>
      <c r="AS8" s="58">
        <f>AU8-AQ8</f>
        <v>403833.6299999999</v>
      </c>
      <c r="AT8" s="69"/>
      <c r="AU8" s="68">
        <f>2476742.48</f>
        <v>2476742.48</v>
      </c>
      <c r="AV8" s="56"/>
    </row>
    <row r="9" spans="1:47" ht="7.5" customHeight="1">
      <c r="A9" s="53"/>
      <c r="B9" s="62"/>
      <c r="C9" s="69"/>
      <c r="D9" s="62">
        <f t="shared" si="0"/>
        <v>0</v>
      </c>
      <c r="E9" s="69"/>
      <c r="F9" s="67"/>
      <c r="G9" s="67"/>
      <c r="H9" s="62">
        <f t="shared" si="1"/>
        <v>0</v>
      </c>
      <c r="I9" s="69"/>
      <c r="J9" s="67"/>
      <c r="K9" s="67"/>
      <c r="L9" s="62">
        <f t="shared" si="2"/>
        <v>0</v>
      </c>
      <c r="M9" s="69"/>
      <c r="N9" s="67"/>
      <c r="O9" s="69"/>
      <c r="P9" s="62"/>
      <c r="Q9" s="69"/>
      <c r="R9" s="67"/>
      <c r="S9" s="69"/>
      <c r="T9" s="62"/>
      <c r="U9" s="69"/>
      <c r="V9" s="67"/>
      <c r="W9" s="69"/>
      <c r="X9" s="53"/>
      <c r="Y9" s="62"/>
      <c r="Z9" s="69"/>
      <c r="AA9" s="67"/>
      <c r="AB9" s="69"/>
      <c r="AC9" s="62"/>
      <c r="AD9" s="69"/>
      <c r="AE9" s="67"/>
      <c r="AF9" s="69"/>
      <c r="AG9" s="62"/>
      <c r="AH9" s="69"/>
      <c r="AI9" s="67"/>
      <c r="AJ9" s="69"/>
      <c r="AK9" s="62"/>
      <c r="AL9" s="69"/>
      <c r="AM9" s="67"/>
      <c r="AN9" s="69"/>
      <c r="AO9" s="62"/>
      <c r="AP9" s="69"/>
      <c r="AQ9" s="68"/>
      <c r="AR9" s="68"/>
      <c r="AS9" s="62"/>
      <c r="AT9" s="69"/>
      <c r="AU9" s="68"/>
    </row>
    <row r="10" spans="1:47" ht="12.75" customHeight="1">
      <c r="A10" s="52" t="s">
        <v>39</v>
      </c>
      <c r="B10" s="62"/>
      <c r="C10" s="69"/>
      <c r="D10" s="62">
        <f t="shared" si="0"/>
        <v>0</v>
      </c>
      <c r="E10" s="69"/>
      <c r="F10" s="67"/>
      <c r="G10" s="67"/>
      <c r="H10" s="62">
        <f t="shared" si="1"/>
        <v>0</v>
      </c>
      <c r="I10" s="69"/>
      <c r="J10" s="67"/>
      <c r="K10" s="67"/>
      <c r="L10" s="62">
        <f t="shared" si="2"/>
        <v>0</v>
      </c>
      <c r="M10" s="69"/>
      <c r="N10" s="67"/>
      <c r="O10" s="69"/>
      <c r="P10" s="62"/>
      <c r="Q10" s="69"/>
      <c r="R10" s="67"/>
      <c r="S10" s="69"/>
      <c r="T10" s="62"/>
      <c r="U10" s="69"/>
      <c r="V10" s="67"/>
      <c r="W10" s="69"/>
      <c r="X10" s="52" t="s">
        <v>39</v>
      </c>
      <c r="Y10" s="62"/>
      <c r="Z10" s="69"/>
      <c r="AA10" s="67"/>
      <c r="AB10" s="69"/>
      <c r="AC10" s="62"/>
      <c r="AD10" s="69"/>
      <c r="AE10" s="67"/>
      <c r="AF10" s="69"/>
      <c r="AG10" s="62"/>
      <c r="AH10" s="69"/>
      <c r="AI10" s="67"/>
      <c r="AJ10" s="69"/>
      <c r="AK10" s="62"/>
      <c r="AL10" s="69"/>
      <c r="AM10" s="67"/>
      <c r="AN10" s="69"/>
      <c r="AO10" s="62"/>
      <c r="AP10" s="69"/>
      <c r="AQ10" s="68"/>
      <c r="AR10" s="68"/>
      <c r="AS10" s="62"/>
      <c r="AT10" s="69"/>
      <c r="AU10" s="68"/>
    </row>
    <row r="11" spans="1:47" ht="12" customHeight="1">
      <c r="A11" s="53" t="s">
        <v>82</v>
      </c>
      <c r="B11" s="62">
        <v>9192.16</v>
      </c>
      <c r="C11" s="69"/>
      <c r="D11" s="62">
        <f t="shared" si="0"/>
        <v>-9192.16</v>
      </c>
      <c r="E11" s="69"/>
      <c r="F11" s="67"/>
      <c r="G11" s="67"/>
      <c r="H11" s="62">
        <f t="shared" si="1"/>
        <v>0</v>
      </c>
      <c r="I11" s="69"/>
      <c r="J11" s="67"/>
      <c r="K11" s="67"/>
      <c r="L11" s="62">
        <f t="shared" si="2"/>
        <v>151124.26</v>
      </c>
      <c r="M11" s="69"/>
      <c r="N11" s="67">
        <v>151124.26</v>
      </c>
      <c r="O11" s="69"/>
      <c r="P11" s="62">
        <f aca="true" t="shared" si="3" ref="P11:P21">R11-N11</f>
        <v>0</v>
      </c>
      <c r="Q11" s="69"/>
      <c r="R11" s="67">
        <v>151124.26</v>
      </c>
      <c r="S11" s="69"/>
      <c r="T11" s="62">
        <f aca="true" t="shared" si="4" ref="T11:T21">V11-R11</f>
        <v>0</v>
      </c>
      <c r="U11" s="69"/>
      <c r="V11" s="67">
        <v>151124.26</v>
      </c>
      <c r="W11" s="69"/>
      <c r="X11" s="53" t="s">
        <v>82</v>
      </c>
      <c r="Y11" s="62">
        <f aca="true" t="shared" si="5" ref="Y11:Y22">AA11-V11</f>
        <v>43955.47</v>
      </c>
      <c r="Z11" s="69"/>
      <c r="AA11" s="68">
        <v>195079.73</v>
      </c>
      <c r="AB11" s="69"/>
      <c r="AC11" s="62">
        <f aca="true" t="shared" si="6" ref="AC11:AC22">AE11-AA11</f>
        <v>0</v>
      </c>
      <c r="AD11" s="69"/>
      <c r="AE11" s="68">
        <v>195079.73</v>
      </c>
      <c r="AF11" s="69"/>
      <c r="AG11" s="62">
        <f aca="true" t="shared" si="7" ref="AG11:AG20">AI11-AE11</f>
        <v>149999.99999999997</v>
      </c>
      <c r="AH11" s="69"/>
      <c r="AI11" s="67">
        <v>345079.73</v>
      </c>
      <c r="AJ11" s="69"/>
      <c r="AK11" s="62">
        <f aca="true" t="shared" si="8" ref="AK11:AK19">AM11-AI11</f>
        <v>69944.41000000003</v>
      </c>
      <c r="AL11" s="69"/>
      <c r="AM11" s="67">
        <f>415024.14</f>
        <v>415024.14</v>
      </c>
      <c r="AN11" s="69"/>
      <c r="AO11" s="62">
        <f aca="true" t="shared" si="9" ref="AO11:AO21">AQ11-AM11</f>
        <v>0</v>
      </c>
      <c r="AP11" s="69"/>
      <c r="AQ11" s="68">
        <v>415024.14</v>
      </c>
      <c r="AR11" s="68"/>
      <c r="AS11" s="58">
        <f aca="true" t="shared" si="10" ref="AS11:AS21">AU11-AQ11</f>
        <v>150000</v>
      </c>
      <c r="AT11" s="69"/>
      <c r="AU11" s="68">
        <v>565024.14</v>
      </c>
    </row>
    <row r="12" spans="1:47" ht="12" customHeight="1">
      <c r="A12" s="53" t="s">
        <v>40</v>
      </c>
      <c r="B12" s="62">
        <f>181116+6520+5</f>
        <v>187641</v>
      </c>
      <c r="C12" s="69"/>
      <c r="D12" s="62">
        <f t="shared" si="0"/>
        <v>58646.5</v>
      </c>
      <c r="E12" s="69"/>
      <c r="F12" s="67">
        <f>231445+14842.5</f>
        <v>246287.5</v>
      </c>
      <c r="G12" s="67"/>
      <c r="H12" s="62">
        <f t="shared" si="1"/>
        <v>116024.25</v>
      </c>
      <c r="I12" s="69"/>
      <c r="J12" s="67">
        <f>303815+58496.75</f>
        <v>362311.75</v>
      </c>
      <c r="K12" s="67"/>
      <c r="L12" s="62">
        <f t="shared" si="2"/>
        <v>104794.77000000002</v>
      </c>
      <c r="M12" s="69"/>
      <c r="N12" s="67">
        <f>390171.77+76934.75</f>
        <v>467106.52</v>
      </c>
      <c r="O12" s="69"/>
      <c r="P12" s="62">
        <f t="shared" si="3"/>
        <v>156205</v>
      </c>
      <c r="Q12" s="69"/>
      <c r="R12" s="67">
        <f>513684.27+109627.25</f>
        <v>623311.52</v>
      </c>
      <c r="S12" s="69"/>
      <c r="T12" s="62">
        <f t="shared" si="4"/>
        <v>124482.07999999996</v>
      </c>
      <c r="U12" s="69"/>
      <c r="V12" s="67">
        <f>597505.64+150287.96</f>
        <v>747793.6</v>
      </c>
      <c r="W12" s="69"/>
      <c r="X12" s="53" t="s">
        <v>40</v>
      </c>
      <c r="Y12" s="62">
        <f t="shared" si="5"/>
        <v>110290.53000000003</v>
      </c>
      <c r="Z12" s="69"/>
      <c r="AA12" s="67">
        <f>665353.67+192730.46</f>
        <v>858084.13</v>
      </c>
      <c r="AB12" s="69"/>
      <c r="AC12" s="62">
        <f t="shared" si="6"/>
        <v>102051</v>
      </c>
      <c r="AD12" s="69"/>
      <c r="AE12" s="67">
        <f>724022.67+236112.46</f>
        <v>960135.13</v>
      </c>
      <c r="AF12" s="69"/>
      <c r="AG12" s="62">
        <f t="shared" si="7"/>
        <v>39645.689999999944</v>
      </c>
      <c r="AH12" s="69"/>
      <c r="AI12" s="69">
        <f>745794.86+253985.96</f>
        <v>999780.82</v>
      </c>
      <c r="AJ12" s="69"/>
      <c r="AK12" s="62">
        <f t="shared" si="8"/>
        <v>42159.84999999998</v>
      </c>
      <c r="AL12" s="69"/>
      <c r="AM12" s="67">
        <f>774752.71+267187.96</f>
        <v>1041940.6699999999</v>
      </c>
      <c r="AN12" s="69"/>
      <c r="AO12" s="62">
        <f t="shared" si="9"/>
        <v>7084.470000000205</v>
      </c>
      <c r="AP12" s="69"/>
      <c r="AQ12" s="68">
        <f>778127.18+270897.96</f>
        <v>1049025.1400000001</v>
      </c>
      <c r="AR12" s="68"/>
      <c r="AS12" s="58">
        <f t="shared" si="10"/>
        <v>5482.879999999888</v>
      </c>
      <c r="AT12" s="69"/>
      <c r="AU12" s="68">
        <f>778930.06+275577.96</f>
        <v>1054508.02</v>
      </c>
    </row>
    <row r="13" spans="1:47" ht="12" customHeight="1">
      <c r="A13" s="53" t="s">
        <v>41</v>
      </c>
      <c r="B13" s="62">
        <v>0</v>
      </c>
      <c r="C13" s="69"/>
      <c r="D13" s="62">
        <f t="shared" si="0"/>
        <v>0</v>
      </c>
      <c r="E13" s="69"/>
      <c r="F13" s="67"/>
      <c r="G13" s="67"/>
      <c r="H13" s="62">
        <f>J13-F13</f>
        <v>0</v>
      </c>
      <c r="I13" s="69"/>
      <c r="J13" s="67">
        <v>0</v>
      </c>
      <c r="K13" s="67"/>
      <c r="L13" s="62">
        <f t="shared" si="2"/>
        <v>0</v>
      </c>
      <c r="M13" s="69"/>
      <c r="N13" s="67">
        <v>0</v>
      </c>
      <c r="O13" s="69"/>
      <c r="P13" s="62">
        <f t="shared" si="3"/>
        <v>62</v>
      </c>
      <c r="Q13" s="69"/>
      <c r="R13" s="67">
        <v>62</v>
      </c>
      <c r="S13" s="69"/>
      <c r="T13" s="62">
        <f t="shared" si="4"/>
        <v>95700.29</v>
      </c>
      <c r="U13" s="69"/>
      <c r="V13" s="67">
        <v>95762.29</v>
      </c>
      <c r="W13" s="69"/>
      <c r="X13" s="53" t="s">
        <v>41</v>
      </c>
      <c r="Y13" s="62">
        <f t="shared" si="5"/>
        <v>210301.97000000003</v>
      </c>
      <c r="Z13" s="69"/>
      <c r="AA13" s="67">
        <v>306064.26</v>
      </c>
      <c r="AB13" s="69"/>
      <c r="AC13" s="62">
        <f t="shared" si="6"/>
        <v>105238.89000000001</v>
      </c>
      <c r="AD13" s="69"/>
      <c r="AE13" s="67">
        <v>411303.15</v>
      </c>
      <c r="AF13" s="69"/>
      <c r="AG13" s="62">
        <f t="shared" si="7"/>
        <v>5844.699999999953</v>
      </c>
      <c r="AH13" s="69"/>
      <c r="AI13" s="69">
        <v>417147.85</v>
      </c>
      <c r="AJ13" s="69"/>
      <c r="AK13" s="62">
        <f t="shared" si="8"/>
        <v>-115.2599999999511</v>
      </c>
      <c r="AL13" s="69"/>
      <c r="AM13" s="67">
        <v>417032.59</v>
      </c>
      <c r="AN13" s="69"/>
      <c r="AO13" s="62">
        <f t="shared" si="9"/>
        <v>-322.8500000000349</v>
      </c>
      <c r="AP13" s="69"/>
      <c r="AQ13" s="68">
        <v>416709.74</v>
      </c>
      <c r="AR13" s="68"/>
      <c r="AS13" s="58">
        <f t="shared" si="10"/>
        <v>-29.959999999962747</v>
      </c>
      <c r="AT13" s="69"/>
      <c r="AU13" s="68">
        <v>416679.78</v>
      </c>
    </row>
    <row r="14" spans="1:47" ht="12" customHeight="1">
      <c r="A14" s="53" t="s">
        <v>42</v>
      </c>
      <c r="B14" s="62">
        <v>10061.9</v>
      </c>
      <c r="C14" s="69"/>
      <c r="D14" s="62">
        <f t="shared" si="0"/>
        <v>10035.140000000001</v>
      </c>
      <c r="E14" s="69"/>
      <c r="F14" s="67">
        <v>20097.04</v>
      </c>
      <c r="G14" s="67"/>
      <c r="H14" s="62">
        <f t="shared" si="1"/>
        <v>10085.189999999999</v>
      </c>
      <c r="I14" s="69"/>
      <c r="J14" s="67">
        <v>30182.23</v>
      </c>
      <c r="K14" s="67"/>
      <c r="L14" s="62">
        <f t="shared" si="2"/>
        <v>10037.91</v>
      </c>
      <c r="M14" s="69"/>
      <c r="N14" s="68">
        <v>40220.14</v>
      </c>
      <c r="O14" s="69"/>
      <c r="P14" s="62">
        <f t="shared" si="3"/>
        <v>20093.36</v>
      </c>
      <c r="Q14" s="69"/>
      <c r="R14" s="67">
        <v>60313.5</v>
      </c>
      <c r="S14" s="69"/>
      <c r="T14" s="62">
        <f t="shared" si="4"/>
        <v>25629.72</v>
      </c>
      <c r="U14" s="69"/>
      <c r="V14" s="67">
        <v>85943.22</v>
      </c>
      <c r="W14" s="69"/>
      <c r="X14" s="53" t="s">
        <v>42</v>
      </c>
      <c r="Y14" s="62">
        <f t="shared" si="5"/>
        <v>23236.850000000006</v>
      </c>
      <c r="Z14" s="69"/>
      <c r="AA14" s="67">
        <v>109180.07</v>
      </c>
      <c r="AB14" s="69"/>
      <c r="AC14" s="62">
        <f t="shared" si="6"/>
        <v>13399.369999999995</v>
      </c>
      <c r="AD14" s="69"/>
      <c r="AE14" s="67">
        <v>122579.44</v>
      </c>
      <c r="AF14" s="69"/>
      <c r="AG14" s="62">
        <f t="shared" si="7"/>
        <v>12484.299999999988</v>
      </c>
      <c r="AH14" s="69"/>
      <c r="AI14" s="69">
        <v>135063.74</v>
      </c>
      <c r="AJ14" s="69"/>
      <c r="AK14" s="62">
        <f t="shared" si="8"/>
        <v>29904.640000000014</v>
      </c>
      <c r="AL14" s="69"/>
      <c r="AM14" s="67">
        <v>164968.38</v>
      </c>
      <c r="AN14" s="69"/>
      <c r="AO14" s="62">
        <f t="shared" si="9"/>
        <v>12326.419999999984</v>
      </c>
      <c r="AP14" s="69"/>
      <c r="AQ14" s="68">
        <v>177294.8</v>
      </c>
      <c r="AR14" s="68"/>
      <c r="AS14" s="58">
        <f t="shared" si="10"/>
        <v>10165.820000000007</v>
      </c>
      <c r="AT14" s="69"/>
      <c r="AU14" s="68">
        <v>187460.62</v>
      </c>
    </row>
    <row r="15" spans="1:47" ht="12" customHeight="1">
      <c r="A15" s="53" t="s">
        <v>43</v>
      </c>
      <c r="B15" s="62">
        <v>17702.24</v>
      </c>
      <c r="C15" s="69"/>
      <c r="D15" s="62">
        <f t="shared" si="0"/>
        <v>20781.55</v>
      </c>
      <c r="E15" s="69"/>
      <c r="F15" s="67">
        <v>38483.79</v>
      </c>
      <c r="G15" s="67"/>
      <c r="H15" s="62">
        <f t="shared" si="1"/>
        <v>21077.08</v>
      </c>
      <c r="I15" s="69"/>
      <c r="J15" s="67">
        <v>59560.87</v>
      </c>
      <c r="K15" s="67"/>
      <c r="L15" s="62">
        <f t="shared" si="2"/>
        <v>21330.859999999993</v>
      </c>
      <c r="M15" s="69"/>
      <c r="N15" s="68">
        <v>80891.73</v>
      </c>
      <c r="O15" s="69"/>
      <c r="P15" s="62">
        <f t="shared" si="3"/>
        <v>87589.54</v>
      </c>
      <c r="Q15" s="69"/>
      <c r="R15" s="67">
        <v>168481.27</v>
      </c>
      <c r="S15" s="69"/>
      <c r="T15" s="62">
        <f t="shared" si="4"/>
        <v>21330.860000000015</v>
      </c>
      <c r="U15" s="69"/>
      <c r="V15" s="67">
        <v>189812.13</v>
      </c>
      <c r="W15" s="69"/>
      <c r="X15" s="53" t="s">
        <v>43</v>
      </c>
      <c r="Y15" s="62">
        <f t="shared" si="5"/>
        <v>21828.820000000007</v>
      </c>
      <c r="Z15" s="69"/>
      <c r="AA15" s="67">
        <v>211640.95</v>
      </c>
      <c r="AB15" s="69"/>
      <c r="AC15" s="62">
        <f t="shared" si="6"/>
        <v>23215.339999999997</v>
      </c>
      <c r="AD15" s="69"/>
      <c r="AE15" s="67">
        <v>234856.29</v>
      </c>
      <c r="AF15" s="69"/>
      <c r="AG15" s="62">
        <f t="shared" si="7"/>
        <v>19812.419999999984</v>
      </c>
      <c r="AH15" s="69"/>
      <c r="AI15" s="69">
        <v>254668.71</v>
      </c>
      <c r="AJ15" s="69"/>
      <c r="AK15" s="62">
        <f t="shared" si="8"/>
        <v>29161.78</v>
      </c>
      <c r="AL15" s="69"/>
      <c r="AM15" s="67">
        <v>283830.49</v>
      </c>
      <c r="AN15" s="69"/>
      <c r="AO15" s="62">
        <f t="shared" si="9"/>
        <v>18884.72000000003</v>
      </c>
      <c r="AP15" s="69"/>
      <c r="AQ15" s="68">
        <v>302715.21</v>
      </c>
      <c r="AR15" s="68"/>
      <c r="AS15" s="58">
        <f t="shared" si="10"/>
        <v>27204.219999999972</v>
      </c>
      <c r="AT15" s="69"/>
      <c r="AU15" s="68">
        <v>329919.43</v>
      </c>
    </row>
    <row r="16" spans="1:47" ht="12" customHeight="1">
      <c r="A16" s="53" t="s">
        <v>44</v>
      </c>
      <c r="B16" s="62">
        <v>0</v>
      </c>
      <c r="C16" s="69"/>
      <c r="D16" s="62">
        <f t="shared" si="0"/>
        <v>0</v>
      </c>
      <c r="E16" s="69"/>
      <c r="F16" s="67"/>
      <c r="G16" s="67"/>
      <c r="H16" s="62">
        <f t="shared" si="1"/>
        <v>664715.13</v>
      </c>
      <c r="I16" s="69"/>
      <c r="J16" s="67">
        <f>542610.13+122100+5</f>
        <v>664715.13</v>
      </c>
      <c r="K16" s="67"/>
      <c r="L16" s="62">
        <f t="shared" si="2"/>
        <v>6995</v>
      </c>
      <c r="M16" s="69"/>
      <c r="N16" s="67">
        <f>549610.13+122100</f>
        <v>671710.13</v>
      </c>
      <c r="O16" s="69"/>
      <c r="P16" s="62">
        <f t="shared" si="3"/>
        <v>2255</v>
      </c>
      <c r="Q16" s="69"/>
      <c r="R16" s="67">
        <f>551865.13+122100</f>
        <v>673965.13</v>
      </c>
      <c r="S16" s="69"/>
      <c r="T16" s="62">
        <f t="shared" si="4"/>
        <v>376124.9999999999</v>
      </c>
      <c r="U16" s="69"/>
      <c r="V16" s="67">
        <f>924690.13+125400</f>
        <v>1050090.13</v>
      </c>
      <c r="W16" s="69"/>
      <c r="X16" s="53" t="s">
        <v>44</v>
      </c>
      <c r="Y16" s="62">
        <f t="shared" si="5"/>
        <v>0</v>
      </c>
      <c r="Z16" s="69"/>
      <c r="AA16" s="67">
        <f>924690.13+125400</f>
        <v>1050090.13</v>
      </c>
      <c r="AB16" s="69"/>
      <c r="AC16" s="62">
        <f t="shared" si="6"/>
        <v>0</v>
      </c>
      <c r="AD16" s="69"/>
      <c r="AE16" s="67">
        <f>924690.13+125400</f>
        <v>1050090.13</v>
      </c>
      <c r="AF16" s="69"/>
      <c r="AG16" s="62">
        <f t="shared" si="7"/>
        <v>104936.3600000001</v>
      </c>
      <c r="AH16" s="69"/>
      <c r="AI16" s="69">
        <f>1026426.49+128600</f>
        <v>1155026.49</v>
      </c>
      <c r="AJ16" s="69"/>
      <c r="AK16" s="62">
        <f t="shared" si="8"/>
        <v>52649.52000000002</v>
      </c>
      <c r="AL16" s="69"/>
      <c r="AM16" s="67">
        <f>131800+1075876.01</f>
        <v>1207676.01</v>
      </c>
      <c r="AN16" s="69"/>
      <c r="AO16" s="62">
        <f t="shared" si="9"/>
        <v>110</v>
      </c>
      <c r="AP16" s="69"/>
      <c r="AQ16" s="68">
        <f>1075876.01+131800+110</f>
        <v>1207786.01</v>
      </c>
      <c r="AR16" s="68"/>
      <c r="AS16" s="58">
        <f t="shared" si="10"/>
        <v>204610.76</v>
      </c>
      <c r="AT16" s="69"/>
      <c r="AU16" s="68">
        <f>1246486.77+165800+110</f>
        <v>1412396.77</v>
      </c>
    </row>
    <row r="17" spans="1:48" ht="12" customHeight="1">
      <c r="A17" s="53" t="s">
        <v>45</v>
      </c>
      <c r="B17" s="62">
        <v>140</v>
      </c>
      <c r="C17" s="69"/>
      <c r="D17" s="62">
        <f t="shared" si="0"/>
        <v>1915</v>
      </c>
      <c r="E17" s="69"/>
      <c r="F17" s="67">
        <v>2055</v>
      </c>
      <c r="G17" s="67"/>
      <c r="H17" s="62">
        <f t="shared" si="1"/>
        <v>2920</v>
      </c>
      <c r="I17" s="69"/>
      <c r="J17" s="67">
        <v>4975</v>
      </c>
      <c r="K17" s="67"/>
      <c r="L17" s="62">
        <f t="shared" si="2"/>
        <v>335</v>
      </c>
      <c r="M17" s="69"/>
      <c r="N17" s="67">
        <v>5310</v>
      </c>
      <c r="O17" s="69"/>
      <c r="P17" s="62">
        <f t="shared" si="3"/>
        <v>0</v>
      </c>
      <c r="Q17" s="69"/>
      <c r="R17" s="67">
        <v>5310</v>
      </c>
      <c r="S17" s="69"/>
      <c r="T17" s="62">
        <f t="shared" si="4"/>
        <v>0</v>
      </c>
      <c r="U17" s="69"/>
      <c r="V17" s="67">
        <v>5310</v>
      </c>
      <c r="W17" s="69"/>
      <c r="X17" s="53" t="s">
        <v>45</v>
      </c>
      <c r="Y17" s="62">
        <f t="shared" si="5"/>
        <v>0</v>
      </c>
      <c r="Z17" s="69"/>
      <c r="AA17" s="67">
        <v>5310</v>
      </c>
      <c r="AB17" s="69"/>
      <c r="AC17" s="62">
        <f t="shared" si="6"/>
        <v>140</v>
      </c>
      <c r="AD17" s="69"/>
      <c r="AE17" s="67">
        <v>5450</v>
      </c>
      <c r="AF17" s="69"/>
      <c r="AG17" s="62">
        <f t="shared" si="7"/>
        <v>0</v>
      </c>
      <c r="AH17" s="69"/>
      <c r="AI17" s="69">
        <v>5450</v>
      </c>
      <c r="AJ17" s="69"/>
      <c r="AK17" s="62">
        <f t="shared" si="8"/>
        <v>0</v>
      </c>
      <c r="AL17" s="69"/>
      <c r="AM17" s="67">
        <v>5450</v>
      </c>
      <c r="AN17" s="69"/>
      <c r="AO17" s="62">
        <f t="shared" si="9"/>
        <v>0</v>
      </c>
      <c r="AP17" s="69"/>
      <c r="AQ17" s="68">
        <v>5450</v>
      </c>
      <c r="AR17" s="68"/>
      <c r="AS17" s="58">
        <f t="shared" si="10"/>
        <v>1800</v>
      </c>
      <c r="AT17" s="69"/>
      <c r="AU17" s="68">
        <v>7250</v>
      </c>
      <c r="AV17" s="56"/>
    </row>
    <row r="18" spans="1:47" ht="12" customHeight="1">
      <c r="A18" s="53" t="s">
        <v>46</v>
      </c>
      <c r="B18" s="62">
        <f>55574.34+100</f>
        <v>55674.34</v>
      </c>
      <c r="C18" s="69"/>
      <c r="D18" s="62">
        <f t="shared" si="0"/>
        <v>8399.590000000004</v>
      </c>
      <c r="E18" s="69"/>
      <c r="F18" s="67">
        <v>64073.93</v>
      </c>
      <c r="G18" s="67"/>
      <c r="H18" s="62">
        <f t="shared" si="1"/>
        <v>7428.689999999995</v>
      </c>
      <c r="I18" s="69"/>
      <c r="J18" s="67">
        <v>71502.62</v>
      </c>
      <c r="K18" s="67"/>
      <c r="L18" s="62">
        <f t="shared" si="2"/>
        <v>35239.56</v>
      </c>
      <c r="M18" s="69"/>
      <c r="N18" s="67">
        <v>106742.18</v>
      </c>
      <c r="O18" s="69"/>
      <c r="P18" s="62">
        <f t="shared" si="3"/>
        <v>17414.640000000014</v>
      </c>
      <c r="Q18" s="69"/>
      <c r="R18" s="67">
        <v>124156.82</v>
      </c>
      <c r="S18" s="69"/>
      <c r="T18" s="62">
        <f t="shared" si="4"/>
        <v>19570.649999999994</v>
      </c>
      <c r="U18" s="69"/>
      <c r="V18" s="67">
        <v>143727.47</v>
      </c>
      <c r="W18" s="69"/>
      <c r="X18" s="53" t="s">
        <v>46</v>
      </c>
      <c r="Y18" s="62">
        <f t="shared" si="5"/>
        <v>20475.420000000013</v>
      </c>
      <c r="Z18" s="69"/>
      <c r="AA18" s="67">
        <v>164202.89</v>
      </c>
      <c r="AB18" s="69"/>
      <c r="AC18" s="62">
        <f t="shared" si="6"/>
        <v>53992.45999999999</v>
      </c>
      <c r="AD18" s="69"/>
      <c r="AE18" s="67">
        <v>218195.35</v>
      </c>
      <c r="AF18" s="69"/>
      <c r="AG18" s="62">
        <f t="shared" si="7"/>
        <v>22570.04999999999</v>
      </c>
      <c r="AH18" s="69"/>
      <c r="AI18" s="69">
        <v>240765.4</v>
      </c>
      <c r="AJ18" s="69"/>
      <c r="AK18" s="62">
        <f t="shared" si="8"/>
        <v>77463.69000000003</v>
      </c>
      <c r="AL18" s="69"/>
      <c r="AM18" s="67">
        <v>318229.09</v>
      </c>
      <c r="AN18" s="69"/>
      <c r="AO18" s="62">
        <f t="shared" si="9"/>
        <v>160665</v>
      </c>
      <c r="AP18" s="69"/>
      <c r="AQ18" s="68">
        <v>478894.09</v>
      </c>
      <c r="AR18" s="68"/>
      <c r="AS18" s="58">
        <f t="shared" si="10"/>
        <v>11675.169999999984</v>
      </c>
      <c r="AT18" s="69"/>
      <c r="AU18" s="68">
        <v>490569.26</v>
      </c>
    </row>
    <row r="19" spans="1:47" ht="12" customHeight="1">
      <c r="A19" s="53" t="s">
        <v>47</v>
      </c>
      <c r="B19" s="62">
        <v>215</v>
      </c>
      <c r="C19" s="69"/>
      <c r="D19" s="62">
        <f t="shared" si="0"/>
        <v>68</v>
      </c>
      <c r="E19" s="69"/>
      <c r="F19" s="67">
        <v>283</v>
      </c>
      <c r="G19" s="67"/>
      <c r="H19" s="62">
        <f t="shared" si="1"/>
        <v>654</v>
      </c>
      <c r="I19" s="69"/>
      <c r="J19" s="67">
        <v>937</v>
      </c>
      <c r="K19" s="67"/>
      <c r="L19" s="62">
        <f t="shared" si="2"/>
        <v>2642</v>
      </c>
      <c r="M19" s="69"/>
      <c r="N19" s="67">
        <v>3579</v>
      </c>
      <c r="O19" s="69"/>
      <c r="P19" s="62">
        <f t="shared" si="3"/>
        <v>7113</v>
      </c>
      <c r="Q19" s="69"/>
      <c r="R19" s="67">
        <v>10692</v>
      </c>
      <c r="S19" s="69"/>
      <c r="T19" s="62">
        <f t="shared" si="4"/>
        <v>20247</v>
      </c>
      <c r="U19" s="69"/>
      <c r="V19" s="67">
        <v>30939</v>
      </c>
      <c r="W19" s="69"/>
      <c r="X19" s="53" t="s">
        <v>47</v>
      </c>
      <c r="Y19" s="62">
        <f t="shared" si="5"/>
        <v>7948</v>
      </c>
      <c r="Z19" s="69"/>
      <c r="AA19" s="67">
        <v>38887</v>
      </c>
      <c r="AB19" s="69"/>
      <c r="AC19" s="62">
        <f t="shared" si="6"/>
        <v>7592</v>
      </c>
      <c r="AD19" s="69"/>
      <c r="AE19" s="67">
        <v>46479</v>
      </c>
      <c r="AF19" s="69"/>
      <c r="AG19" s="62">
        <f t="shared" si="7"/>
        <v>1993</v>
      </c>
      <c r="AH19" s="69"/>
      <c r="AI19" s="69">
        <v>48472</v>
      </c>
      <c r="AJ19" s="69"/>
      <c r="AK19" s="62">
        <f t="shared" si="8"/>
        <v>3779</v>
      </c>
      <c r="AL19" s="69"/>
      <c r="AM19" s="67">
        <v>52251</v>
      </c>
      <c r="AN19" s="69"/>
      <c r="AO19" s="62">
        <f t="shared" si="9"/>
        <v>966</v>
      </c>
      <c r="AP19" s="69"/>
      <c r="AQ19" s="68">
        <v>53217</v>
      </c>
      <c r="AR19" s="68"/>
      <c r="AS19" s="58">
        <f t="shared" si="10"/>
        <v>382</v>
      </c>
      <c r="AT19" s="69"/>
      <c r="AU19" s="68">
        <v>53599</v>
      </c>
    </row>
    <row r="20" spans="1:47" ht="12" customHeight="1">
      <c r="A20" s="53" t="s">
        <v>48</v>
      </c>
      <c r="B20" s="62">
        <f>17785.75+911.06+1659.51</f>
        <v>20356.32</v>
      </c>
      <c r="C20" s="69"/>
      <c r="D20" s="62">
        <f t="shared" si="0"/>
        <v>3950.1800000000003</v>
      </c>
      <c r="E20" s="69"/>
      <c r="F20" s="67">
        <f>17785.75+2859.51+3661.24</f>
        <v>24306.5</v>
      </c>
      <c r="G20" s="67"/>
      <c r="H20" s="62">
        <f t="shared" si="1"/>
        <v>13604.160000000003</v>
      </c>
      <c r="I20" s="69"/>
      <c r="J20" s="67">
        <f>17785.75+2859.51+17265.4</f>
        <v>37910.66</v>
      </c>
      <c r="K20" s="67"/>
      <c r="L20" s="62">
        <f t="shared" si="2"/>
        <v>12333.909999999996</v>
      </c>
      <c r="M20" s="69"/>
      <c r="N20" s="67">
        <f>21513.75+3247.21+25483.61</f>
        <v>50244.57</v>
      </c>
      <c r="O20" s="69"/>
      <c r="P20" s="62">
        <f t="shared" si="3"/>
        <v>52112.299999999996</v>
      </c>
      <c r="Q20" s="69"/>
      <c r="R20" s="67">
        <f>110+21550.75+3248.71+31847.41+45600</f>
        <v>102356.87</v>
      </c>
      <c r="S20" s="69"/>
      <c r="T20" s="62">
        <f t="shared" si="4"/>
        <v>9085.150000000009</v>
      </c>
      <c r="U20" s="69"/>
      <c r="V20" s="67">
        <f>26883.82+6731.09+77827.11</f>
        <v>111442.02</v>
      </c>
      <c r="W20" s="69"/>
      <c r="X20" s="53" t="s">
        <v>48</v>
      </c>
      <c r="Y20" s="62">
        <f t="shared" si="5"/>
        <v>1047.929999999993</v>
      </c>
      <c r="Z20" s="69"/>
      <c r="AA20" s="67">
        <f>26883.82+7532.09+78074.04</f>
        <v>112489.95</v>
      </c>
      <c r="AB20" s="69"/>
      <c r="AC20" s="62">
        <f t="shared" si="6"/>
        <v>5385.270000000004</v>
      </c>
      <c r="AD20" s="69"/>
      <c r="AE20" s="67">
        <f>27892.87+9625.91+34756.44+45600</f>
        <v>117875.22</v>
      </c>
      <c r="AF20" s="69"/>
      <c r="AG20" s="62">
        <f t="shared" si="7"/>
        <v>1939.7999999999884</v>
      </c>
      <c r="AH20" s="69"/>
      <c r="AI20" s="69">
        <f>27897.87+10460.31+81456.84</f>
        <v>119815.01999999999</v>
      </c>
      <c r="AJ20" s="69"/>
      <c r="AK20" s="62">
        <f>AM20-AI20</f>
        <v>5671.090000000011</v>
      </c>
      <c r="AL20" s="69"/>
      <c r="AM20" s="67">
        <f>27897.87+13330.21+84258.03</f>
        <v>125486.11</v>
      </c>
      <c r="AN20" s="69"/>
      <c r="AO20" s="62">
        <f t="shared" si="9"/>
        <v>3896.3099999999977</v>
      </c>
      <c r="AP20" s="69"/>
      <c r="AQ20" s="68">
        <f>27897.87+13831.22+87653.33</f>
        <v>129382.42</v>
      </c>
      <c r="AR20" s="68"/>
      <c r="AS20" s="58">
        <f t="shared" si="10"/>
        <v>23579.13000000002</v>
      </c>
      <c r="AT20" s="69"/>
      <c r="AU20" s="68">
        <f>110792.46+14271.22+27897.87</f>
        <v>152961.55000000002</v>
      </c>
    </row>
    <row r="21" spans="1:47" ht="12" customHeight="1">
      <c r="A21" s="53" t="s">
        <v>80</v>
      </c>
      <c r="B21" s="62">
        <v>1807.86</v>
      </c>
      <c r="C21" s="69"/>
      <c r="D21" s="62">
        <f t="shared" si="0"/>
        <v>1644.4200000000003</v>
      </c>
      <c r="E21" s="69"/>
      <c r="F21" s="67">
        <v>3452.28</v>
      </c>
      <c r="G21" s="67"/>
      <c r="H21" s="62">
        <f t="shared" si="1"/>
        <v>3116.53</v>
      </c>
      <c r="I21" s="69"/>
      <c r="J21" s="67">
        <v>6568.81</v>
      </c>
      <c r="K21" s="67"/>
      <c r="L21" s="62">
        <f t="shared" si="2"/>
        <v>3211.1899999999996</v>
      </c>
      <c r="M21" s="69"/>
      <c r="N21" s="67">
        <v>9780</v>
      </c>
      <c r="O21" s="69"/>
      <c r="P21" s="62">
        <f t="shared" si="3"/>
        <v>4882.15</v>
      </c>
      <c r="Q21" s="69"/>
      <c r="R21" s="67">
        <v>14662.15</v>
      </c>
      <c r="S21" s="69"/>
      <c r="T21" s="62">
        <f t="shared" si="4"/>
        <v>2304.090000000002</v>
      </c>
      <c r="U21" s="69"/>
      <c r="V21" s="67">
        <v>16966.24</v>
      </c>
      <c r="W21" s="69"/>
      <c r="X21" s="53" t="s">
        <v>80</v>
      </c>
      <c r="Y21" s="62">
        <f t="shared" si="5"/>
        <v>4606.59</v>
      </c>
      <c r="Z21" s="69"/>
      <c r="AA21" s="67">
        <v>21572.83</v>
      </c>
      <c r="AB21" s="69"/>
      <c r="AC21" s="62">
        <f t="shared" si="6"/>
        <v>1454.4099999999999</v>
      </c>
      <c r="AD21" s="69"/>
      <c r="AE21" s="67">
        <v>23027.24</v>
      </c>
      <c r="AF21" s="69"/>
      <c r="AG21" s="62">
        <f>AI21-AE21</f>
        <v>2621.769999999997</v>
      </c>
      <c r="AH21" s="69"/>
      <c r="AI21" s="67">
        <v>25649.01</v>
      </c>
      <c r="AJ21" s="69"/>
      <c r="AK21" s="62">
        <f>AM21-AI21</f>
        <v>2463.980000000003</v>
      </c>
      <c r="AL21" s="69"/>
      <c r="AM21" s="67">
        <v>28112.99</v>
      </c>
      <c r="AN21" s="69"/>
      <c r="AO21" s="62">
        <f t="shared" si="9"/>
        <v>2344.5499999999993</v>
      </c>
      <c r="AP21" s="69"/>
      <c r="AQ21" s="68">
        <v>30457.54</v>
      </c>
      <c r="AR21" s="68"/>
      <c r="AS21" s="58">
        <f t="shared" si="10"/>
        <v>2001.8199999999997</v>
      </c>
      <c r="AT21" s="69"/>
      <c r="AU21" s="68">
        <v>32459.36</v>
      </c>
    </row>
    <row r="22" spans="1:47" ht="12" customHeight="1">
      <c r="A22" s="53" t="s">
        <v>81</v>
      </c>
      <c r="B22" s="62">
        <v>0</v>
      </c>
      <c r="C22" s="69"/>
      <c r="D22" s="62">
        <f t="shared" si="0"/>
        <v>0</v>
      </c>
      <c r="E22" s="69"/>
      <c r="F22" s="67"/>
      <c r="G22" s="67"/>
      <c r="H22" s="62">
        <f t="shared" si="1"/>
        <v>0</v>
      </c>
      <c r="I22" s="69"/>
      <c r="J22" s="67"/>
      <c r="K22" s="67"/>
      <c r="L22" s="62">
        <f t="shared" si="2"/>
        <v>0</v>
      </c>
      <c r="M22" s="69"/>
      <c r="N22" s="67"/>
      <c r="O22" s="69"/>
      <c r="P22" s="62"/>
      <c r="Q22" s="69"/>
      <c r="R22" s="67"/>
      <c r="S22" s="69"/>
      <c r="T22" s="62"/>
      <c r="U22" s="69"/>
      <c r="V22" s="67">
        <v>0</v>
      </c>
      <c r="W22" s="69"/>
      <c r="X22" s="53" t="s">
        <v>81</v>
      </c>
      <c r="Y22" s="62">
        <f t="shared" si="5"/>
        <v>0</v>
      </c>
      <c r="Z22" s="69"/>
      <c r="AA22" s="67"/>
      <c r="AB22" s="69"/>
      <c r="AC22" s="62">
        <f t="shared" si="6"/>
        <v>0</v>
      </c>
      <c r="AD22" s="69"/>
      <c r="AE22" s="67"/>
      <c r="AF22" s="69"/>
      <c r="AG22" s="62"/>
      <c r="AH22" s="69"/>
      <c r="AI22" s="67"/>
      <c r="AJ22" s="69"/>
      <c r="AK22" s="62"/>
      <c r="AL22" s="69"/>
      <c r="AM22" s="67"/>
      <c r="AN22" s="69"/>
      <c r="AO22" s="62"/>
      <c r="AP22" s="69"/>
      <c r="AQ22" s="67"/>
      <c r="AR22" s="67"/>
      <c r="AS22" s="62"/>
      <c r="AT22" s="69"/>
      <c r="AU22" s="67"/>
    </row>
    <row r="23" spans="1:47" ht="12" customHeight="1">
      <c r="A23" s="53"/>
      <c r="B23" s="62"/>
      <c r="C23" s="69"/>
      <c r="D23" s="62"/>
      <c r="E23" s="69"/>
      <c r="F23" s="67"/>
      <c r="G23" s="67"/>
      <c r="H23" s="62"/>
      <c r="I23" s="69"/>
      <c r="J23" s="67"/>
      <c r="K23" s="67"/>
      <c r="L23" s="62"/>
      <c r="M23" s="69"/>
      <c r="N23" s="67"/>
      <c r="O23" s="69"/>
      <c r="P23" s="62"/>
      <c r="Q23" s="69"/>
      <c r="R23" s="67"/>
      <c r="S23" s="69"/>
      <c r="T23" s="62"/>
      <c r="U23" s="69"/>
      <c r="V23" s="67"/>
      <c r="W23" s="69"/>
      <c r="X23" s="53"/>
      <c r="Y23" s="62"/>
      <c r="Z23" s="69"/>
      <c r="AA23" s="67"/>
      <c r="AB23" s="69"/>
      <c r="AC23" s="62"/>
      <c r="AD23" s="69"/>
      <c r="AE23" s="67"/>
      <c r="AF23" s="69"/>
      <c r="AG23" s="62"/>
      <c r="AH23" s="69"/>
      <c r="AI23" s="67"/>
      <c r="AJ23" s="69"/>
      <c r="AK23" s="62"/>
      <c r="AL23" s="69"/>
      <c r="AM23" s="67"/>
      <c r="AN23" s="69"/>
      <c r="AO23" s="62"/>
      <c r="AP23" s="69"/>
      <c r="AQ23" s="67"/>
      <c r="AR23" s="67"/>
      <c r="AS23" s="62"/>
      <c r="AT23" s="69"/>
      <c r="AU23" s="67"/>
    </row>
    <row r="24" spans="1:49" ht="15" customHeight="1">
      <c r="A24" s="52" t="s">
        <v>49</v>
      </c>
      <c r="B24" s="84">
        <f>SUM(B8:B23)+B5</f>
        <v>695579.12</v>
      </c>
      <c r="C24" s="71"/>
      <c r="D24" s="84">
        <f>SUM(D8:D22)+D5</f>
        <v>4695247.26</v>
      </c>
      <c r="E24" s="71"/>
      <c r="F24" s="85">
        <f>SUM(F8:F22)+F5</f>
        <v>5390826.38</v>
      </c>
      <c r="G24" s="64"/>
      <c r="H24" s="84">
        <f>SUM(H8:H22)+H5</f>
        <v>14604005.979999999</v>
      </c>
      <c r="I24" s="71"/>
      <c r="J24" s="85">
        <f>SUM(J8:J22)+J5</f>
        <v>19994832.36</v>
      </c>
      <c r="K24" s="64"/>
      <c r="L24" s="84">
        <f>SUM(L8:L22)+L5</f>
        <v>558585.7</v>
      </c>
      <c r="M24" s="71"/>
      <c r="N24" s="85">
        <f>SUM(N8:N22)+N5</f>
        <v>20900004.28</v>
      </c>
      <c r="O24" s="71"/>
      <c r="P24" s="84">
        <f>SUM(P8:P22)+P5</f>
        <v>555163.68</v>
      </c>
      <c r="Q24" s="71"/>
      <c r="R24" s="85">
        <f>SUM(R8:R22)+R5</f>
        <v>21717377.5</v>
      </c>
      <c r="S24" s="71"/>
      <c r="T24" s="84">
        <f>SUM(T8:T22)+T5</f>
        <v>694474.8399999999</v>
      </c>
      <c r="U24" s="71"/>
      <c r="V24" s="85">
        <f>SUM(V8:V22)+V5</f>
        <v>22385048.240000002</v>
      </c>
      <c r="W24" s="71"/>
      <c r="X24" s="52" t="s">
        <v>49</v>
      </c>
      <c r="Y24" s="84">
        <f>SUM(Y8:Y22)+Y5</f>
        <v>6116254.419999997</v>
      </c>
      <c r="Z24" s="71"/>
      <c r="AA24" s="85">
        <f>SUM(AA8:AA22)+AA5</f>
        <v>28501302.66</v>
      </c>
      <c r="AB24" s="71"/>
      <c r="AC24" s="84">
        <f>SUM(AC8:AC22)+AC5</f>
        <v>13341670.149999997</v>
      </c>
      <c r="AD24" s="71"/>
      <c r="AE24" s="85">
        <f>SUM(AE8:AE22)+AE5</f>
        <v>41842972.809999995</v>
      </c>
      <c r="AF24" s="71"/>
      <c r="AG24" s="84">
        <f>SUM(AG8:AG22)+AG5</f>
        <v>1098948.9700000025</v>
      </c>
      <c r="AH24" s="71"/>
      <c r="AI24" s="85">
        <f>SUM(AI11:AI23)+AI5+AI8</f>
        <v>42941921.779999994</v>
      </c>
      <c r="AJ24" s="71"/>
      <c r="AK24" s="84">
        <f>SUM(AK8:AK22)+AK5</f>
        <v>2286713.379999997</v>
      </c>
      <c r="AL24" s="71"/>
      <c r="AM24" s="85">
        <f>SUM(AM8:AM22)+AM5</f>
        <v>45228635.16</v>
      </c>
      <c r="AN24" s="71"/>
      <c r="AO24" s="84">
        <f>SUM(AO8:AO22)+AO5</f>
        <v>299566.9799999996</v>
      </c>
      <c r="AP24" s="71"/>
      <c r="AQ24" s="85">
        <f>SUM(AQ8:AQ22)+AQ5</f>
        <v>45528202.13999999</v>
      </c>
      <c r="AR24" s="64"/>
      <c r="AS24" s="84">
        <f>SUM(AS8:AS22)+AS5</f>
        <v>1530859.4399999985</v>
      </c>
      <c r="AT24" s="71"/>
      <c r="AU24" s="85">
        <f>SUM(AU8:AU22)+AU5</f>
        <v>47059061.58</v>
      </c>
      <c r="AV24" s="57"/>
      <c r="AW24" s="57"/>
    </row>
    <row r="25" spans="1:48" ht="12" customHeight="1">
      <c r="A25" s="52"/>
      <c r="B25" s="60"/>
      <c r="C25" s="71"/>
      <c r="D25" s="60"/>
      <c r="E25" s="71"/>
      <c r="F25" s="64"/>
      <c r="G25" s="64"/>
      <c r="H25" s="60"/>
      <c r="I25" s="71"/>
      <c r="J25" s="64"/>
      <c r="K25" s="64"/>
      <c r="L25" s="60"/>
      <c r="M25" s="71"/>
      <c r="N25" s="64"/>
      <c r="O25" s="71"/>
      <c r="P25" s="60"/>
      <c r="Q25" s="71"/>
      <c r="R25" s="64"/>
      <c r="S25" s="71"/>
      <c r="T25" s="60"/>
      <c r="U25" s="71"/>
      <c r="V25" s="64"/>
      <c r="W25" s="71"/>
      <c r="X25" s="52"/>
      <c r="Y25" s="60"/>
      <c r="Z25" s="71"/>
      <c r="AA25" s="64"/>
      <c r="AB25" s="71"/>
      <c r="AC25" s="60"/>
      <c r="AD25" s="71"/>
      <c r="AE25" s="64"/>
      <c r="AF25" s="71"/>
      <c r="AG25" s="60"/>
      <c r="AH25" s="71"/>
      <c r="AI25" s="64"/>
      <c r="AJ25" s="71"/>
      <c r="AK25" s="60"/>
      <c r="AL25" s="71"/>
      <c r="AM25" s="64"/>
      <c r="AN25" s="71"/>
      <c r="AO25" s="60"/>
      <c r="AP25" s="71"/>
      <c r="AQ25" s="64"/>
      <c r="AR25" s="64"/>
      <c r="AS25" s="60"/>
      <c r="AT25" s="71"/>
      <c r="AU25" s="64"/>
      <c r="AV25" s="57"/>
    </row>
    <row r="26" spans="1:47" ht="15" customHeight="1">
      <c r="A26" s="52" t="s">
        <v>50</v>
      </c>
      <c r="B26" s="61"/>
      <c r="C26" s="72"/>
      <c r="D26" s="61"/>
      <c r="E26" s="72"/>
      <c r="F26" s="65"/>
      <c r="G26" s="65"/>
      <c r="H26" s="61"/>
      <c r="I26" s="72"/>
      <c r="J26" s="65"/>
      <c r="K26" s="65"/>
      <c r="L26" s="61"/>
      <c r="M26" s="72"/>
      <c r="N26" s="65"/>
      <c r="O26" s="72"/>
      <c r="P26" s="61"/>
      <c r="Q26" s="72"/>
      <c r="R26" s="65"/>
      <c r="S26" s="72"/>
      <c r="T26" s="61"/>
      <c r="U26" s="72"/>
      <c r="V26" s="65"/>
      <c r="W26" s="72"/>
      <c r="X26" s="52" t="s">
        <v>50</v>
      </c>
      <c r="Y26" s="61"/>
      <c r="Z26" s="72"/>
      <c r="AA26" s="65"/>
      <c r="AB26" s="72"/>
      <c r="AC26" s="61"/>
      <c r="AD26" s="72"/>
      <c r="AE26" s="65"/>
      <c r="AF26" s="72"/>
      <c r="AG26" s="61"/>
      <c r="AH26" s="72"/>
      <c r="AI26" s="65"/>
      <c r="AJ26" s="72"/>
      <c r="AK26" s="61"/>
      <c r="AL26" s="72"/>
      <c r="AM26" s="65"/>
      <c r="AN26" s="72"/>
      <c r="AO26" s="61"/>
      <c r="AP26" s="72"/>
      <c r="AQ26" s="65"/>
      <c r="AR26" s="65"/>
      <c r="AS26" s="61"/>
      <c r="AT26" s="72"/>
      <c r="AU26" s="65"/>
    </row>
    <row r="27" spans="1:47" ht="12" customHeight="1">
      <c r="A27" s="52"/>
      <c r="B27" s="61"/>
      <c r="C27" s="72"/>
      <c r="D27" s="61"/>
      <c r="E27" s="72"/>
      <c r="F27" s="65"/>
      <c r="G27" s="65"/>
      <c r="H27" s="61"/>
      <c r="I27" s="72"/>
      <c r="J27" s="65"/>
      <c r="K27" s="65"/>
      <c r="L27" s="61"/>
      <c r="M27" s="72"/>
      <c r="N27" s="65"/>
      <c r="O27" s="72"/>
      <c r="P27" s="61"/>
      <c r="Q27" s="72"/>
      <c r="R27" s="65"/>
      <c r="S27" s="72"/>
      <c r="T27" s="61"/>
      <c r="U27" s="72"/>
      <c r="V27" s="65"/>
      <c r="W27" s="72"/>
      <c r="X27" s="52"/>
      <c r="Y27" s="61"/>
      <c r="Z27" s="72"/>
      <c r="AA27" s="65"/>
      <c r="AB27" s="72"/>
      <c r="AC27" s="61"/>
      <c r="AD27" s="72"/>
      <c r="AE27" s="65"/>
      <c r="AF27" s="72"/>
      <c r="AG27" s="61"/>
      <c r="AH27" s="72"/>
      <c r="AI27" s="65"/>
      <c r="AJ27" s="72"/>
      <c r="AK27" s="61"/>
      <c r="AL27" s="72"/>
      <c r="AM27" s="65"/>
      <c r="AN27" s="72"/>
      <c r="AO27" s="61"/>
      <c r="AP27" s="72"/>
      <c r="AQ27" s="65"/>
      <c r="AR27" s="65"/>
      <c r="AS27" s="61"/>
      <c r="AT27" s="72"/>
      <c r="AU27" s="65"/>
    </row>
    <row r="28" spans="1:47" ht="12" customHeight="1">
      <c r="A28" s="52" t="s">
        <v>53</v>
      </c>
      <c r="B28" s="58">
        <f>B29+B30</f>
        <v>36444.65</v>
      </c>
      <c r="C28" s="73"/>
      <c r="D28" s="58">
        <f>F28-B28</f>
        <v>95440.22</v>
      </c>
      <c r="E28" s="73"/>
      <c r="F28" s="59">
        <f>F29+F30</f>
        <v>131884.87</v>
      </c>
      <c r="G28" s="59"/>
      <c r="H28" s="58">
        <f>J28-F28</f>
        <v>155395.56</v>
      </c>
      <c r="I28" s="73"/>
      <c r="J28" s="59">
        <f>J29+J30</f>
        <v>287280.43</v>
      </c>
      <c r="K28" s="59"/>
      <c r="L28" s="58">
        <f>N28-J28</f>
        <v>130638.41000000003</v>
      </c>
      <c r="M28" s="73"/>
      <c r="N28" s="59">
        <f>N29+N30</f>
        <v>417918.84</v>
      </c>
      <c r="O28" s="73"/>
      <c r="P28" s="58">
        <f>R28-N28</f>
        <v>168972.84999999992</v>
      </c>
      <c r="Q28" s="73"/>
      <c r="R28" s="59">
        <f>R29+R30</f>
        <v>586891.69</v>
      </c>
      <c r="S28" s="73"/>
      <c r="T28" s="58">
        <f>V28-R28</f>
        <v>197701.81000000006</v>
      </c>
      <c r="U28" s="73"/>
      <c r="V28" s="59">
        <f>V29+V30</f>
        <v>784593.5</v>
      </c>
      <c r="W28" s="73"/>
      <c r="X28" s="52" t="s">
        <v>53</v>
      </c>
      <c r="Y28" s="58">
        <f>AA28-V28</f>
        <v>168732.95000000007</v>
      </c>
      <c r="Z28" s="73"/>
      <c r="AA28" s="59">
        <f>AA29+AA30</f>
        <v>953326.4500000001</v>
      </c>
      <c r="AB28" s="73"/>
      <c r="AC28" s="58">
        <f>AE28-AA28</f>
        <v>131641.7699999999</v>
      </c>
      <c r="AD28" s="73"/>
      <c r="AE28" s="59">
        <f>AE29+AE30</f>
        <v>1084968.22</v>
      </c>
      <c r="AF28" s="73"/>
      <c r="AG28" s="58">
        <f>AI28-AE28</f>
        <v>167481.43999999994</v>
      </c>
      <c r="AH28" s="73"/>
      <c r="AI28" s="59">
        <f>AI29+AI30</f>
        <v>1252449.66</v>
      </c>
      <c r="AJ28" s="73"/>
      <c r="AK28" s="58">
        <f>AM28-AI28</f>
        <v>232706.29000000004</v>
      </c>
      <c r="AL28" s="73"/>
      <c r="AM28" s="59">
        <f>AM29+AM30</f>
        <v>1485155.95</v>
      </c>
      <c r="AN28" s="73"/>
      <c r="AO28" s="58">
        <f>AQ28-AM28</f>
        <v>124519.08799999999</v>
      </c>
      <c r="AP28" s="73"/>
      <c r="AQ28" s="59">
        <f>AQ29+AQ30</f>
        <v>1609675.038</v>
      </c>
      <c r="AR28" s="59"/>
      <c r="AS28" s="58">
        <f>AU28-AQ28</f>
        <v>158493.74199999985</v>
      </c>
      <c r="AT28" s="73"/>
      <c r="AU28" s="59">
        <f>AU29+AU30</f>
        <v>1768168.7799999998</v>
      </c>
    </row>
    <row r="29" spans="1:47" ht="12" customHeight="1">
      <c r="A29" s="53" t="s">
        <v>85</v>
      </c>
      <c r="B29" s="62">
        <v>33955.14</v>
      </c>
      <c r="C29" s="69"/>
      <c r="D29" s="62">
        <f>F29-B29</f>
        <v>87860.58</v>
      </c>
      <c r="E29" s="69"/>
      <c r="F29" s="67">
        <v>121815.72</v>
      </c>
      <c r="G29" s="67"/>
      <c r="H29" s="62">
        <f>J29-F29</f>
        <v>143558.42</v>
      </c>
      <c r="I29" s="69"/>
      <c r="J29" s="67">
        <v>265374.14</v>
      </c>
      <c r="K29" s="67"/>
      <c r="L29" s="62">
        <f>N29-J29</f>
        <v>122111.91999999998</v>
      </c>
      <c r="M29" s="69"/>
      <c r="N29" s="67">
        <v>387486.06</v>
      </c>
      <c r="O29" s="69"/>
      <c r="P29" s="67">
        <f>R29-N29</f>
        <v>168418.91999999998</v>
      </c>
      <c r="Q29" s="69"/>
      <c r="R29" s="62">
        <v>555904.98</v>
      </c>
      <c r="S29" s="69"/>
      <c r="T29" s="67">
        <f>V29-R29</f>
        <v>120677.10999999999</v>
      </c>
      <c r="U29" s="69"/>
      <c r="V29" s="67">
        <v>676582.09</v>
      </c>
      <c r="W29" s="69"/>
      <c r="X29" s="53" t="s">
        <v>85</v>
      </c>
      <c r="Y29" s="62">
        <f>AA29-V29</f>
        <v>138621.78000000003</v>
      </c>
      <c r="Z29" s="69"/>
      <c r="AA29" s="67">
        <v>815203.87</v>
      </c>
      <c r="AB29" s="69"/>
      <c r="AC29" s="62">
        <f>AE29-AA29</f>
        <v>119867.62</v>
      </c>
      <c r="AD29" s="69"/>
      <c r="AE29" s="67">
        <v>935071.49</v>
      </c>
      <c r="AF29" s="69"/>
      <c r="AG29" s="62">
        <f>AI29-AE29</f>
        <v>137023.08000000007</v>
      </c>
      <c r="AH29" s="69"/>
      <c r="AI29" s="67">
        <v>1072094.57</v>
      </c>
      <c r="AJ29" s="69"/>
      <c r="AK29" s="62">
        <f>AM29-AI29</f>
        <v>212793.99</v>
      </c>
      <c r="AL29" s="69"/>
      <c r="AM29" s="67">
        <v>1284888.56</v>
      </c>
      <c r="AN29" s="69"/>
      <c r="AO29" s="62">
        <f>AQ29-AM29</f>
        <v>119741.81000000006</v>
      </c>
      <c r="AP29" s="69"/>
      <c r="AQ29" s="67">
        <v>1404630.37</v>
      </c>
      <c r="AR29" s="67"/>
      <c r="AS29" s="62">
        <f>AU29-AQ29</f>
        <v>133472.43999999994</v>
      </c>
      <c r="AT29" s="69"/>
      <c r="AU29" s="67">
        <v>1538102.81</v>
      </c>
    </row>
    <row r="30" spans="1:47" ht="12" customHeight="1">
      <c r="A30" s="53" t="s">
        <v>86</v>
      </c>
      <c r="B30" s="62">
        <f>2502.26-12.75</f>
        <v>2489.51</v>
      </c>
      <c r="C30" s="69"/>
      <c r="D30" s="62">
        <f>F30-B30</f>
        <v>7579.639999999994</v>
      </c>
      <c r="E30" s="69"/>
      <c r="F30" s="67">
        <f>131884.87-121815.72</f>
        <v>10069.149999999994</v>
      </c>
      <c r="G30" s="67"/>
      <c r="H30" s="62">
        <f>J30-F30</f>
        <v>11837.139999999985</v>
      </c>
      <c r="I30" s="69"/>
      <c r="J30" s="67">
        <f>287280.43-265374.14</f>
        <v>21906.28999999998</v>
      </c>
      <c r="K30" s="67"/>
      <c r="L30" s="62">
        <f>N30-J30</f>
        <v>8526.490000000049</v>
      </c>
      <c r="M30" s="69"/>
      <c r="N30" s="67">
        <f>417918.84-387486.06</f>
        <v>30432.780000000028</v>
      </c>
      <c r="O30" s="69"/>
      <c r="P30" s="67">
        <f>R30-N30</f>
        <v>553.9299999999348</v>
      </c>
      <c r="Q30" s="69"/>
      <c r="R30" s="62">
        <f>586891.69-555904.98</f>
        <v>30986.709999999963</v>
      </c>
      <c r="S30" s="69"/>
      <c r="T30" s="67">
        <f>V30-R30</f>
        <v>77024.70000000007</v>
      </c>
      <c r="U30" s="69"/>
      <c r="V30" s="67">
        <f>784593.5-676582.09</f>
        <v>108011.41000000003</v>
      </c>
      <c r="W30" s="69"/>
      <c r="X30" s="53" t="s">
        <v>86</v>
      </c>
      <c r="Y30" s="62">
        <f>AA30-V30</f>
        <v>30111.170000000042</v>
      </c>
      <c r="Z30" s="69"/>
      <c r="AA30" s="67">
        <f>2416.64+950909.81-815203.87</f>
        <v>138122.58000000007</v>
      </c>
      <c r="AB30" s="69"/>
      <c r="AC30" s="62">
        <f>AE30-AA30</f>
        <v>11774.149999999907</v>
      </c>
      <c r="AD30" s="69"/>
      <c r="AE30" s="67">
        <f>2416.64+1082551.58-935071.49</f>
        <v>149896.72999999998</v>
      </c>
      <c r="AF30" s="69"/>
      <c r="AG30" s="62">
        <f>AI30-AE30</f>
        <v>30458.35999999987</v>
      </c>
      <c r="AH30" s="69"/>
      <c r="AI30" s="67">
        <f>2416.64+1250033.02-1072094.57</f>
        <v>180355.08999999985</v>
      </c>
      <c r="AJ30" s="69"/>
      <c r="AK30" s="62">
        <f>AM30-AI30</f>
        <v>19912.300000000047</v>
      </c>
      <c r="AL30" s="69"/>
      <c r="AM30" s="67">
        <f>2416.64+1482739.31-1284888.56</f>
        <v>200267.3899999999</v>
      </c>
      <c r="AN30" s="69"/>
      <c r="AO30" s="62">
        <f>AQ30-AM30</f>
        <v>4777.277999999933</v>
      </c>
      <c r="AP30" s="69"/>
      <c r="AQ30" s="67">
        <f>2416.64+1607258.398-1404630.37</f>
        <v>205044.66799999983</v>
      </c>
      <c r="AR30" s="67"/>
      <c r="AS30" s="62">
        <f>AU30-AQ30</f>
        <v>25021.30199999991</v>
      </c>
      <c r="AT30" s="69"/>
      <c r="AU30" s="67">
        <f>2416.64+1765752.14-1538102.81</f>
        <v>230065.96999999974</v>
      </c>
    </row>
    <row r="31" spans="1:47" ht="7.5" customHeight="1">
      <c r="A31" s="53"/>
      <c r="B31" s="62"/>
      <c r="C31" s="69"/>
      <c r="D31" s="62"/>
      <c r="E31" s="69"/>
      <c r="F31" s="67"/>
      <c r="G31" s="67"/>
      <c r="H31" s="62"/>
      <c r="I31" s="69"/>
      <c r="J31" s="67"/>
      <c r="K31" s="67"/>
      <c r="L31" s="62"/>
      <c r="M31" s="69"/>
      <c r="N31" s="67"/>
      <c r="O31" s="69"/>
      <c r="P31" s="62"/>
      <c r="Q31" s="69"/>
      <c r="R31" s="67"/>
      <c r="S31" s="69"/>
      <c r="T31" s="62"/>
      <c r="U31" s="69"/>
      <c r="V31" s="67"/>
      <c r="W31" s="69"/>
      <c r="X31" s="53"/>
      <c r="Y31" s="62"/>
      <c r="Z31" s="69"/>
      <c r="AA31" s="67"/>
      <c r="AB31" s="69"/>
      <c r="AC31" s="62"/>
      <c r="AD31" s="69"/>
      <c r="AE31" s="67"/>
      <c r="AF31" s="69"/>
      <c r="AG31" s="62"/>
      <c r="AH31" s="69"/>
      <c r="AI31" s="67"/>
      <c r="AJ31" s="69"/>
      <c r="AK31" s="62"/>
      <c r="AL31" s="69"/>
      <c r="AM31" s="67"/>
      <c r="AN31" s="69"/>
      <c r="AO31" s="62"/>
      <c r="AP31" s="69"/>
      <c r="AQ31" s="67"/>
      <c r="AR31" s="67"/>
      <c r="AS31" s="62"/>
      <c r="AT31" s="69"/>
      <c r="AU31" s="67"/>
    </row>
    <row r="32" spans="1:47" ht="12" customHeight="1">
      <c r="A32" s="52" t="s">
        <v>62</v>
      </c>
      <c r="B32" s="58">
        <f>B33+B34</f>
        <v>36612.76</v>
      </c>
      <c r="C32" s="73"/>
      <c r="D32" s="58">
        <f>F32-B32</f>
        <v>92171.9</v>
      </c>
      <c r="E32" s="73"/>
      <c r="F32" s="59">
        <f>F33+F34</f>
        <v>128784.66</v>
      </c>
      <c r="G32" s="59"/>
      <c r="H32" s="58">
        <f>J32-F32</f>
        <v>126854.12</v>
      </c>
      <c r="I32" s="73"/>
      <c r="J32" s="59">
        <f>J33+J34</f>
        <v>255638.78</v>
      </c>
      <c r="K32" s="59"/>
      <c r="L32" s="58">
        <f>N32-J32</f>
        <v>132368.55000000002</v>
      </c>
      <c r="M32" s="73"/>
      <c r="N32" s="59">
        <f>N33+N34</f>
        <v>388007.33</v>
      </c>
      <c r="O32" s="73"/>
      <c r="P32" s="58">
        <f>R32-N32</f>
        <v>192368.32</v>
      </c>
      <c r="Q32" s="73"/>
      <c r="R32" s="59">
        <f>R33+R34</f>
        <v>580375.65</v>
      </c>
      <c r="S32" s="73"/>
      <c r="T32" s="58">
        <f>V32-R32</f>
        <v>133167.36</v>
      </c>
      <c r="U32" s="73"/>
      <c r="V32" s="59">
        <f>V33+V34</f>
        <v>713543.01</v>
      </c>
      <c r="W32" s="73"/>
      <c r="X32" s="52" t="s">
        <v>62</v>
      </c>
      <c r="Y32" s="58">
        <f>AA32-V32</f>
        <v>152327.93999999994</v>
      </c>
      <c r="Z32" s="73"/>
      <c r="AA32" s="59">
        <f>AA33+AA34</f>
        <v>865870.95</v>
      </c>
      <c r="AB32" s="73"/>
      <c r="AC32" s="58">
        <f>AE32-AA32</f>
        <v>111421.89000000001</v>
      </c>
      <c r="AD32" s="73"/>
      <c r="AE32" s="59">
        <f>AE33+AE34</f>
        <v>977292.84</v>
      </c>
      <c r="AF32" s="73"/>
      <c r="AG32" s="58">
        <f>AI32-AE32</f>
        <v>122110.54999999993</v>
      </c>
      <c r="AH32" s="73"/>
      <c r="AI32" s="59">
        <f>AI33+AI34</f>
        <v>1099403.39</v>
      </c>
      <c r="AJ32" s="73"/>
      <c r="AK32" s="58">
        <f>AM32-AI32</f>
        <v>193736.01</v>
      </c>
      <c r="AL32" s="73"/>
      <c r="AM32" s="59">
        <f>AM33+AM34</f>
        <v>1293139.4</v>
      </c>
      <c r="AN32" s="73"/>
      <c r="AO32" s="58">
        <f>AQ32-AM32</f>
        <v>110568.40000000014</v>
      </c>
      <c r="AP32" s="73"/>
      <c r="AQ32" s="59">
        <f>AQ33+AQ34</f>
        <v>1403707.8</v>
      </c>
      <c r="AR32" s="59"/>
      <c r="AS32" s="58">
        <f>AU32-AQ32</f>
        <v>128873.47999999998</v>
      </c>
      <c r="AT32" s="73"/>
      <c r="AU32" s="59">
        <f>AU33+AU34</f>
        <v>1532581.28</v>
      </c>
    </row>
    <row r="33" spans="1:47" ht="12" customHeight="1">
      <c r="A33" s="53" t="s">
        <v>85</v>
      </c>
      <c r="B33" s="62">
        <v>36308.35</v>
      </c>
      <c r="C33" s="69"/>
      <c r="D33" s="62">
        <f>F33-B33</f>
        <v>90619.79000000001</v>
      </c>
      <c r="E33" s="69"/>
      <c r="F33" s="67">
        <v>126928.14</v>
      </c>
      <c r="G33" s="67"/>
      <c r="H33" s="62">
        <f>J33-F33</f>
        <v>126080.58</v>
      </c>
      <c r="I33" s="69"/>
      <c r="J33" s="67">
        <v>253008.72</v>
      </c>
      <c r="K33" s="67"/>
      <c r="L33" s="62">
        <f>N33-J33</f>
        <v>106774.97</v>
      </c>
      <c r="M33" s="69"/>
      <c r="N33" s="67">
        <v>359783.69</v>
      </c>
      <c r="O33" s="69"/>
      <c r="P33" s="62">
        <f>R33-N33</f>
        <v>166288.8</v>
      </c>
      <c r="Q33" s="69"/>
      <c r="R33" s="67">
        <v>526072.49</v>
      </c>
      <c r="S33" s="69"/>
      <c r="T33" s="62">
        <f>V33-R33</f>
        <v>120920.01000000001</v>
      </c>
      <c r="U33" s="69"/>
      <c r="V33" s="67">
        <v>646992.5</v>
      </c>
      <c r="W33" s="69"/>
      <c r="X33" s="53" t="s">
        <v>85</v>
      </c>
      <c r="Y33" s="62">
        <f>AA33-V33</f>
        <v>151756.44999999995</v>
      </c>
      <c r="Z33" s="69"/>
      <c r="AA33" s="67">
        <v>798748.95</v>
      </c>
      <c r="AB33" s="69"/>
      <c r="AC33" s="62">
        <f>AE33-AA33</f>
        <v>107883.72000000009</v>
      </c>
      <c r="AD33" s="69"/>
      <c r="AE33" s="67">
        <v>906632.67</v>
      </c>
      <c r="AF33" s="69"/>
      <c r="AG33" s="62">
        <f>AI33-AE33</f>
        <v>120141.31999999995</v>
      </c>
      <c r="AH33" s="69"/>
      <c r="AI33" s="67">
        <v>1026773.99</v>
      </c>
      <c r="AJ33" s="69"/>
      <c r="AK33" s="62">
        <f>AM33-AI33</f>
        <v>192523.68999999994</v>
      </c>
      <c r="AL33" s="69"/>
      <c r="AM33" s="67">
        <v>1219297.68</v>
      </c>
      <c r="AN33" s="69"/>
      <c r="AO33" s="62">
        <f>AQ33-AM33</f>
        <v>106943.5</v>
      </c>
      <c r="AP33" s="69"/>
      <c r="AQ33" s="67">
        <v>1326241.18</v>
      </c>
      <c r="AR33" s="67"/>
      <c r="AS33" s="62">
        <f>AU33-AQ33</f>
        <v>127200.53000000003</v>
      </c>
      <c r="AT33" s="69"/>
      <c r="AU33" s="67">
        <v>1453441.71</v>
      </c>
    </row>
    <row r="34" spans="1:47" ht="12" customHeight="1">
      <c r="A34" s="53" t="s">
        <v>86</v>
      </c>
      <c r="B34" s="62">
        <f>304.41</f>
        <v>304.41</v>
      </c>
      <c r="C34" s="69"/>
      <c r="D34" s="62">
        <f>F34-B34</f>
        <v>1552.110000000004</v>
      </c>
      <c r="E34" s="69"/>
      <c r="F34" s="67">
        <f>128784.66-126928.14</f>
        <v>1856.520000000004</v>
      </c>
      <c r="G34" s="67"/>
      <c r="H34" s="62">
        <f>J34-F34</f>
        <v>773.5399999999936</v>
      </c>
      <c r="I34" s="69"/>
      <c r="J34" s="67">
        <f>255638.78-253008.72</f>
        <v>2630.0599999999977</v>
      </c>
      <c r="K34" s="67"/>
      <c r="L34" s="62">
        <f>N34-J34</f>
        <v>25593.580000000016</v>
      </c>
      <c r="M34" s="69"/>
      <c r="N34" s="67">
        <f>388007.33-359783.69</f>
        <v>28223.640000000014</v>
      </c>
      <c r="O34" s="69"/>
      <c r="P34" s="62">
        <f>R34-N34</f>
        <v>26079.52000000002</v>
      </c>
      <c r="Q34" s="69"/>
      <c r="R34" s="67">
        <f>580375.65-526072.49</f>
        <v>54303.16000000003</v>
      </c>
      <c r="S34" s="69"/>
      <c r="T34" s="62">
        <f>V34-R34</f>
        <v>12247.349999999977</v>
      </c>
      <c r="U34" s="69"/>
      <c r="V34" s="67">
        <f>713543.01-646992.5</f>
        <v>66550.51000000001</v>
      </c>
      <c r="W34" s="69"/>
      <c r="X34" s="53" t="s">
        <v>86</v>
      </c>
      <c r="Y34" s="62">
        <f>AA34-V34</f>
        <v>571.4899999999907</v>
      </c>
      <c r="Z34" s="69"/>
      <c r="AA34" s="67">
        <f>865870.95-798748.95</f>
        <v>67122</v>
      </c>
      <c r="AB34" s="69"/>
      <c r="AC34" s="62">
        <f>AE34-Z34</f>
        <v>70660.16999999993</v>
      </c>
      <c r="AD34" s="69"/>
      <c r="AE34" s="67">
        <f>977292.84-906632.67</f>
        <v>70660.16999999993</v>
      </c>
      <c r="AF34" s="69"/>
      <c r="AG34" s="62">
        <f>AI34-AE34</f>
        <v>1969.2299999999814</v>
      </c>
      <c r="AH34" s="69"/>
      <c r="AI34" s="67">
        <f>1099403.39-1026773.99</f>
        <v>72629.3999999999</v>
      </c>
      <c r="AJ34" s="69"/>
      <c r="AK34" s="62">
        <f>AM34-AI34</f>
        <v>1212.3200000000652</v>
      </c>
      <c r="AL34" s="69"/>
      <c r="AM34" s="67">
        <f>1293139.4-1219297.68</f>
        <v>73841.71999999997</v>
      </c>
      <c r="AN34" s="69"/>
      <c r="AO34" s="62">
        <f>AQ34-AM34</f>
        <v>3624.9000000001397</v>
      </c>
      <c r="AP34" s="69"/>
      <c r="AQ34" s="67">
        <f>1403707.8-1326241.18</f>
        <v>77466.62000000011</v>
      </c>
      <c r="AR34" s="67"/>
      <c r="AS34" s="62">
        <f>AU34-AQ34</f>
        <v>1672.9499999999534</v>
      </c>
      <c r="AT34" s="69"/>
      <c r="AU34" s="67">
        <f>1532581.28-1453441.71</f>
        <v>79139.57000000007</v>
      </c>
    </row>
    <row r="35" spans="1:47" ht="7.5" customHeight="1">
      <c r="A35" s="53"/>
      <c r="B35" s="62"/>
      <c r="C35" s="69"/>
      <c r="D35" s="62"/>
      <c r="E35" s="69"/>
      <c r="F35" s="67"/>
      <c r="G35" s="67"/>
      <c r="H35" s="62"/>
      <c r="I35" s="69"/>
      <c r="J35" s="67"/>
      <c r="K35" s="67"/>
      <c r="L35" s="62"/>
      <c r="M35" s="69"/>
      <c r="N35" s="67"/>
      <c r="O35" s="69"/>
      <c r="P35" s="62"/>
      <c r="Q35" s="69"/>
      <c r="R35" s="67"/>
      <c r="S35" s="69"/>
      <c r="T35" s="62"/>
      <c r="U35" s="69"/>
      <c r="V35" s="67"/>
      <c r="W35" s="69"/>
      <c r="X35" s="53"/>
      <c r="Y35" s="62"/>
      <c r="Z35" s="69"/>
      <c r="AA35" s="67"/>
      <c r="AB35" s="69"/>
      <c r="AC35" s="62"/>
      <c r="AD35" s="69"/>
      <c r="AE35" s="67"/>
      <c r="AF35" s="69"/>
      <c r="AG35" s="62"/>
      <c r="AH35" s="69"/>
      <c r="AI35" s="67"/>
      <c r="AJ35" s="69"/>
      <c r="AK35" s="62"/>
      <c r="AL35" s="69"/>
      <c r="AM35" s="67"/>
      <c r="AN35" s="69"/>
      <c r="AO35" s="62"/>
      <c r="AP35" s="69"/>
      <c r="AQ35" s="67"/>
      <c r="AR35" s="67"/>
      <c r="AS35" s="62"/>
      <c r="AT35" s="69"/>
      <c r="AU35" s="67"/>
    </row>
    <row r="36" spans="1:47" ht="12" customHeight="1">
      <c r="A36" s="52" t="s">
        <v>54</v>
      </c>
      <c r="B36" s="58">
        <f>B37+B38</f>
        <v>12068.6</v>
      </c>
      <c r="C36" s="73"/>
      <c r="D36" s="58">
        <f>F36-B36</f>
        <v>27569.020000000004</v>
      </c>
      <c r="E36" s="73"/>
      <c r="F36" s="59">
        <f>F37+F38</f>
        <v>39637.62</v>
      </c>
      <c r="G36" s="59"/>
      <c r="H36" s="58">
        <f>J36-F36</f>
        <v>39329.35</v>
      </c>
      <c r="I36" s="73"/>
      <c r="J36" s="59">
        <f>J37+J38</f>
        <v>78966.97</v>
      </c>
      <c r="K36" s="59"/>
      <c r="L36" s="58">
        <f>N36-J36</f>
        <v>28821</v>
      </c>
      <c r="M36" s="73"/>
      <c r="N36" s="59">
        <f>N37+N38</f>
        <v>107787.97</v>
      </c>
      <c r="O36" s="73"/>
      <c r="P36" s="58">
        <f>R36-N36</f>
        <v>49008.51000000001</v>
      </c>
      <c r="Q36" s="73"/>
      <c r="R36" s="59">
        <f>R37+R38</f>
        <v>156796.48</v>
      </c>
      <c r="S36" s="73"/>
      <c r="T36" s="58">
        <f>V36-R36</f>
        <v>35034.78</v>
      </c>
      <c r="U36" s="73"/>
      <c r="V36" s="59">
        <f>V37+V38</f>
        <v>191831.26</v>
      </c>
      <c r="W36" s="73"/>
      <c r="X36" s="52" t="s">
        <v>54</v>
      </c>
      <c r="Y36" s="58">
        <f>AA36-V36</f>
        <v>40913.399999999994</v>
      </c>
      <c r="Z36" s="73"/>
      <c r="AA36" s="59">
        <f>AA37+AA38</f>
        <v>232744.66</v>
      </c>
      <c r="AB36" s="73"/>
      <c r="AC36" s="58">
        <f>AE36-AA36</f>
        <v>32353.819999999978</v>
      </c>
      <c r="AD36" s="73"/>
      <c r="AE36" s="59">
        <f>AE37+AE38</f>
        <v>265098.48</v>
      </c>
      <c r="AF36" s="73"/>
      <c r="AG36" s="58">
        <f>AI36-AE36</f>
        <v>40003.92000000004</v>
      </c>
      <c r="AH36" s="73"/>
      <c r="AI36" s="59">
        <f>AI37+AI38</f>
        <v>305102.4</v>
      </c>
      <c r="AJ36" s="73"/>
      <c r="AK36" s="58">
        <f>AM36-AI36</f>
        <v>52274.94999999995</v>
      </c>
      <c r="AL36" s="73"/>
      <c r="AM36" s="59">
        <f>AM37+AM38</f>
        <v>357377.35</v>
      </c>
      <c r="AN36" s="73"/>
      <c r="AO36" s="58">
        <f>AQ36-AM36</f>
        <v>38752.69</v>
      </c>
      <c r="AP36" s="73"/>
      <c r="AQ36" s="59">
        <f>AQ37+AQ38</f>
        <v>396130.04</v>
      </c>
      <c r="AR36" s="59"/>
      <c r="AS36" s="58">
        <f>AU36-AQ36</f>
        <v>50053.73000000004</v>
      </c>
      <c r="AT36" s="73"/>
      <c r="AU36" s="59">
        <f>AU37+AU38</f>
        <v>446183.77</v>
      </c>
    </row>
    <row r="37" spans="1:47" ht="12" customHeight="1">
      <c r="A37" s="53" t="s">
        <v>85</v>
      </c>
      <c r="B37" s="62">
        <v>11603.6</v>
      </c>
      <c r="C37" s="69"/>
      <c r="D37" s="62">
        <f>F37-B37</f>
        <v>27569.020000000004</v>
      </c>
      <c r="E37" s="69"/>
      <c r="F37" s="67">
        <v>39172.62</v>
      </c>
      <c r="G37" s="67"/>
      <c r="H37" s="62">
        <f>J37-F37</f>
        <v>36903.579999999994</v>
      </c>
      <c r="I37" s="69"/>
      <c r="J37" s="67">
        <v>76076.2</v>
      </c>
      <c r="K37" s="67"/>
      <c r="L37" s="62">
        <f>N37-J37</f>
        <v>28821</v>
      </c>
      <c r="M37" s="69"/>
      <c r="N37" s="67">
        <v>104897.2</v>
      </c>
      <c r="O37" s="69"/>
      <c r="P37" s="62">
        <f>R37-N37</f>
        <v>45631.09000000001</v>
      </c>
      <c r="Q37" s="69"/>
      <c r="R37" s="67">
        <v>150528.29</v>
      </c>
      <c r="S37" s="69"/>
      <c r="T37" s="62">
        <f>V37-R37</f>
        <v>32716.25</v>
      </c>
      <c r="U37" s="69"/>
      <c r="V37" s="67">
        <v>183244.54</v>
      </c>
      <c r="W37" s="69"/>
      <c r="X37" s="53" t="s">
        <v>85</v>
      </c>
      <c r="Y37" s="62">
        <f>AA37-V37</f>
        <v>40913.399999999994</v>
      </c>
      <c r="Z37" s="69"/>
      <c r="AA37" s="67">
        <v>224157.94</v>
      </c>
      <c r="AB37" s="69"/>
      <c r="AC37" s="62">
        <f>AE37-AA37</f>
        <v>28093.100000000006</v>
      </c>
      <c r="AD37" s="69"/>
      <c r="AE37" s="67">
        <v>252251.04</v>
      </c>
      <c r="AF37" s="69"/>
      <c r="AG37" s="62">
        <f>AI37-AE37</f>
        <v>32954.17000000001</v>
      </c>
      <c r="AH37" s="69"/>
      <c r="AI37" s="67">
        <v>285205.21</v>
      </c>
      <c r="AJ37" s="69"/>
      <c r="AK37" s="62">
        <f>AM37-AI37</f>
        <v>51883.79999999999</v>
      </c>
      <c r="AL37" s="69"/>
      <c r="AM37" s="67">
        <v>337089.01</v>
      </c>
      <c r="AN37" s="69"/>
      <c r="AO37" s="62">
        <f>AQ37-AM37</f>
        <v>28051.04999999999</v>
      </c>
      <c r="AP37" s="69"/>
      <c r="AQ37" s="67">
        <v>365140.06</v>
      </c>
      <c r="AR37" s="67"/>
      <c r="AS37" s="62">
        <f>AU37-AQ37</f>
        <v>32937.72999999998</v>
      </c>
      <c r="AT37" s="69"/>
      <c r="AU37" s="67">
        <v>398077.79</v>
      </c>
    </row>
    <row r="38" spans="1:47" ht="12" customHeight="1">
      <c r="A38" s="53" t="s">
        <v>86</v>
      </c>
      <c r="B38" s="62">
        <f>465</f>
        <v>465</v>
      </c>
      <c r="C38" s="69"/>
      <c r="D38" s="62">
        <f>F38-B38</f>
        <v>0</v>
      </c>
      <c r="E38" s="69"/>
      <c r="F38" s="67">
        <f>39637.62-39172.62</f>
        <v>465</v>
      </c>
      <c r="G38" s="67"/>
      <c r="H38" s="62">
        <f>J38-F38</f>
        <v>2425.770000000004</v>
      </c>
      <c r="I38" s="69"/>
      <c r="J38" s="67">
        <f>78966.97-76076.2</f>
        <v>2890.770000000004</v>
      </c>
      <c r="K38" s="67"/>
      <c r="L38" s="62">
        <f>N38-J38</f>
        <v>0</v>
      </c>
      <c r="M38" s="69"/>
      <c r="N38" s="67">
        <f>107787.97-104897.2</f>
        <v>2890.770000000004</v>
      </c>
      <c r="O38" s="69"/>
      <c r="P38" s="62">
        <f>R38-N38</f>
        <v>3377.4199999999983</v>
      </c>
      <c r="Q38" s="69"/>
      <c r="R38" s="67">
        <f>156796.48-150528.29</f>
        <v>6268.190000000002</v>
      </c>
      <c r="S38" s="69"/>
      <c r="T38" s="62">
        <f>V38-R38</f>
        <v>2318.529999999999</v>
      </c>
      <c r="U38" s="69"/>
      <c r="V38" s="67">
        <f>191831.26-183244.54</f>
        <v>8586.720000000001</v>
      </c>
      <c r="W38" s="69"/>
      <c r="X38" s="53" t="s">
        <v>86</v>
      </c>
      <c r="Y38" s="62">
        <f>AA38-V38</f>
        <v>0</v>
      </c>
      <c r="Z38" s="69"/>
      <c r="AA38" s="67">
        <f>232744.66-224157.94</f>
        <v>8586.720000000001</v>
      </c>
      <c r="AB38" s="69"/>
      <c r="AC38" s="62">
        <f>AE38-AA38</f>
        <v>4260.719999999972</v>
      </c>
      <c r="AD38" s="69"/>
      <c r="AE38" s="67">
        <f>265098.48-252251.04</f>
        <v>12847.439999999973</v>
      </c>
      <c r="AF38" s="69"/>
      <c r="AG38" s="62">
        <f>AI38-AE38</f>
        <v>7049.750000000029</v>
      </c>
      <c r="AH38" s="69"/>
      <c r="AI38" s="67">
        <f>305102.4-285205.21</f>
        <v>19897.190000000002</v>
      </c>
      <c r="AJ38" s="69"/>
      <c r="AK38" s="62">
        <f>AM38-AI38</f>
        <v>391.1499999999651</v>
      </c>
      <c r="AL38" s="69"/>
      <c r="AM38" s="67">
        <f>357377.35-337089.01</f>
        <v>20288.339999999967</v>
      </c>
      <c r="AN38" s="69"/>
      <c r="AO38" s="62">
        <f>AQ38-AM38</f>
        <v>10701.640000000014</v>
      </c>
      <c r="AP38" s="69"/>
      <c r="AQ38" s="67">
        <f>396130.04-365140.06</f>
        <v>30989.97999999998</v>
      </c>
      <c r="AR38" s="67"/>
      <c r="AS38" s="62">
        <f>AU38-AQ38</f>
        <v>17116.00000000006</v>
      </c>
      <c r="AT38" s="69"/>
      <c r="AU38" s="67">
        <f>446183.77-398077.79</f>
        <v>48105.98000000004</v>
      </c>
    </row>
    <row r="39" spans="1:47" ht="6.75" customHeight="1">
      <c r="A39" s="53"/>
      <c r="B39" s="62"/>
      <c r="C39" s="69"/>
      <c r="D39" s="62"/>
      <c r="E39" s="69"/>
      <c r="F39" s="67"/>
      <c r="G39" s="67"/>
      <c r="H39" s="62"/>
      <c r="I39" s="69"/>
      <c r="J39" s="67"/>
      <c r="K39" s="67"/>
      <c r="L39" s="62"/>
      <c r="M39" s="69"/>
      <c r="N39" s="67"/>
      <c r="O39" s="69"/>
      <c r="P39" s="62"/>
      <c r="Q39" s="69"/>
      <c r="R39" s="67"/>
      <c r="S39" s="69"/>
      <c r="T39" s="62"/>
      <c r="U39" s="69"/>
      <c r="V39" s="67"/>
      <c r="W39" s="69"/>
      <c r="X39" s="53"/>
      <c r="Y39" s="62"/>
      <c r="Z39" s="69"/>
      <c r="AA39" s="67"/>
      <c r="AB39" s="69"/>
      <c r="AC39" s="62"/>
      <c r="AD39" s="69"/>
      <c r="AE39" s="67"/>
      <c r="AF39" s="69"/>
      <c r="AG39" s="62"/>
      <c r="AH39" s="69"/>
      <c r="AI39" s="67"/>
      <c r="AJ39" s="69"/>
      <c r="AK39" s="62"/>
      <c r="AL39" s="69"/>
      <c r="AM39" s="67"/>
      <c r="AN39" s="69"/>
      <c r="AO39" s="62"/>
      <c r="AP39" s="69"/>
      <c r="AQ39" s="67"/>
      <c r="AR39" s="67"/>
      <c r="AS39" s="62"/>
      <c r="AT39" s="69"/>
      <c r="AU39" s="67"/>
    </row>
    <row r="40" spans="1:47" ht="12" customHeight="1">
      <c r="A40" s="52" t="s">
        <v>55</v>
      </c>
      <c r="B40" s="58">
        <f>B41+B42</f>
        <v>167059.18</v>
      </c>
      <c r="C40" s="73"/>
      <c r="D40" s="58">
        <f>F40-B40</f>
        <v>408403.10000000003</v>
      </c>
      <c r="E40" s="73"/>
      <c r="F40" s="59">
        <f>F41+F42</f>
        <v>575462.28</v>
      </c>
      <c r="G40" s="59"/>
      <c r="H40" s="58">
        <f>J40-F40</f>
        <v>583928.8300000001</v>
      </c>
      <c r="I40" s="73"/>
      <c r="J40" s="59">
        <f>J41+J42</f>
        <v>1159391.11</v>
      </c>
      <c r="K40" s="59"/>
      <c r="L40" s="58">
        <f>N40-J40</f>
        <v>410954.3999999999</v>
      </c>
      <c r="M40" s="73"/>
      <c r="N40" s="59">
        <f>N41+N42</f>
        <v>1570345.51</v>
      </c>
      <c r="O40" s="73"/>
      <c r="P40" s="58">
        <f>R40-N40</f>
        <v>704735.0399999998</v>
      </c>
      <c r="Q40" s="73"/>
      <c r="R40" s="59">
        <f>R41+R42</f>
        <v>2275080.55</v>
      </c>
      <c r="S40" s="73"/>
      <c r="T40" s="58">
        <f>V40-R40</f>
        <v>519161.4700000002</v>
      </c>
      <c r="U40" s="73"/>
      <c r="V40" s="59">
        <f>V41+V42</f>
        <v>2794242.02</v>
      </c>
      <c r="W40" s="73"/>
      <c r="X40" s="52" t="s">
        <v>55</v>
      </c>
      <c r="Y40" s="58">
        <f>AA40-V40</f>
        <v>613655.3399999999</v>
      </c>
      <c r="Z40" s="73"/>
      <c r="AA40" s="59">
        <f>AA41+AA42</f>
        <v>3407897.36</v>
      </c>
      <c r="AB40" s="73"/>
      <c r="AC40" s="58">
        <f>AE40-AA40</f>
        <v>454061.64000000013</v>
      </c>
      <c r="AD40" s="73"/>
      <c r="AE40" s="59">
        <f>AE41+AE42</f>
        <v>3861959</v>
      </c>
      <c r="AF40" s="73"/>
      <c r="AG40" s="58">
        <f>AI40-AE40</f>
        <v>660037.5800000001</v>
      </c>
      <c r="AH40" s="73"/>
      <c r="AI40" s="59">
        <f>AI41+AI42</f>
        <v>4521996.58</v>
      </c>
      <c r="AJ40" s="73"/>
      <c r="AK40" s="58">
        <f>AM40-AI40</f>
        <v>839053.7199999997</v>
      </c>
      <c r="AL40" s="73"/>
      <c r="AM40" s="59">
        <f>AM41+AM42</f>
        <v>5361050.3</v>
      </c>
      <c r="AN40" s="73"/>
      <c r="AO40" s="58">
        <f>AQ40-AM40</f>
        <v>561503.5800000001</v>
      </c>
      <c r="AP40" s="73"/>
      <c r="AQ40" s="59">
        <f>AQ41+AQ42</f>
        <v>5922553.88</v>
      </c>
      <c r="AR40" s="59"/>
      <c r="AS40" s="58">
        <f>AU40-AQ40</f>
        <v>530961.6799999997</v>
      </c>
      <c r="AT40" s="73"/>
      <c r="AU40" s="59">
        <f>AU41+AU42</f>
        <v>6453515.56</v>
      </c>
    </row>
    <row r="41" spans="1:47" ht="12" customHeight="1">
      <c r="A41" s="53" t="s">
        <v>85</v>
      </c>
      <c r="B41" s="62">
        <v>161357.96</v>
      </c>
      <c r="C41" s="69"/>
      <c r="D41" s="62">
        <f>F41-B41</f>
        <v>405883.63</v>
      </c>
      <c r="E41" s="69"/>
      <c r="F41" s="67">
        <v>567241.59</v>
      </c>
      <c r="G41" s="67"/>
      <c r="H41" s="62">
        <f>J41-F41</f>
        <v>575409.4400000001</v>
      </c>
      <c r="I41" s="69"/>
      <c r="J41" s="67">
        <v>1142651.03</v>
      </c>
      <c r="K41" s="67"/>
      <c r="L41" s="62">
        <f>N41-J41</f>
        <v>388477.29000000004</v>
      </c>
      <c r="M41" s="69"/>
      <c r="N41" s="67">
        <v>1531128.32</v>
      </c>
      <c r="O41" s="69"/>
      <c r="P41" s="62">
        <f>R41-N41</f>
        <v>677577.8600000001</v>
      </c>
      <c r="Q41" s="69"/>
      <c r="R41" s="67">
        <v>2208706.18</v>
      </c>
      <c r="S41" s="69"/>
      <c r="T41" s="62">
        <f>V41-R41</f>
        <v>493876.71999999974</v>
      </c>
      <c r="U41" s="69"/>
      <c r="V41" s="67">
        <v>2702582.9</v>
      </c>
      <c r="W41" s="69"/>
      <c r="X41" s="53" t="s">
        <v>85</v>
      </c>
      <c r="Y41" s="62">
        <f>AA41-V41</f>
        <v>590028.6499999999</v>
      </c>
      <c r="Z41" s="69"/>
      <c r="AA41" s="67">
        <v>3292611.55</v>
      </c>
      <c r="AB41" s="69"/>
      <c r="AC41" s="62">
        <f>AE41-AA41</f>
        <v>414542.7000000002</v>
      </c>
      <c r="AD41" s="69"/>
      <c r="AE41" s="67">
        <v>3707154.25</v>
      </c>
      <c r="AF41" s="69"/>
      <c r="AG41" s="62">
        <f>AI41-AE41</f>
        <v>519603</v>
      </c>
      <c r="AH41" s="69"/>
      <c r="AI41" s="67">
        <v>4226757.25</v>
      </c>
      <c r="AJ41" s="69"/>
      <c r="AK41" s="62">
        <f aca="true" t="shared" si="11" ref="AK41:AK54">AM41-AI41</f>
        <v>800185.0800000001</v>
      </c>
      <c r="AL41" s="69"/>
      <c r="AM41" s="67">
        <v>5026942.33</v>
      </c>
      <c r="AN41" s="69"/>
      <c r="AO41" s="62">
        <f>AQ41-AM41</f>
        <v>406111.03000000026</v>
      </c>
      <c r="AP41" s="69"/>
      <c r="AQ41" s="67">
        <v>5433053.36</v>
      </c>
      <c r="AR41" s="67"/>
      <c r="AS41" s="62">
        <f>AU41-AQ41</f>
        <v>490239.02999999933</v>
      </c>
      <c r="AT41" s="69"/>
      <c r="AU41" s="67">
        <v>5923292.39</v>
      </c>
    </row>
    <row r="42" spans="1:47" ht="12" customHeight="1">
      <c r="A42" s="53" t="s">
        <v>86</v>
      </c>
      <c r="B42" s="62">
        <f>5701.22-0</f>
        <v>5701.22</v>
      </c>
      <c r="C42" s="69"/>
      <c r="D42" s="62">
        <f>F42-B42</f>
        <v>2519.4700000000603</v>
      </c>
      <c r="E42" s="69"/>
      <c r="F42" s="67">
        <f>575462.28-567241.59</f>
        <v>8220.69000000006</v>
      </c>
      <c r="G42" s="67"/>
      <c r="H42" s="62">
        <f>J42-F42</f>
        <v>8519.390000000014</v>
      </c>
      <c r="I42" s="69"/>
      <c r="J42" s="67">
        <f>1159391.11-1142651.03</f>
        <v>16740.080000000075</v>
      </c>
      <c r="K42" s="67"/>
      <c r="L42" s="62">
        <f>N42-J42</f>
        <v>22477.10999999987</v>
      </c>
      <c r="M42" s="69"/>
      <c r="N42" s="67">
        <f>1570345.51-1531128.32</f>
        <v>39217.189999999944</v>
      </c>
      <c r="O42" s="69"/>
      <c r="P42" s="62">
        <f>R42-N42</f>
        <v>27157.179999999702</v>
      </c>
      <c r="Q42" s="69"/>
      <c r="R42" s="67">
        <f>2275080.55-2208706.18</f>
        <v>66374.36999999965</v>
      </c>
      <c r="S42" s="69"/>
      <c r="T42" s="62">
        <f>V42-R42</f>
        <v>25284.750000000466</v>
      </c>
      <c r="U42" s="69"/>
      <c r="V42" s="67">
        <f>2794242.02-2702582.9</f>
        <v>91659.12000000011</v>
      </c>
      <c r="W42" s="69"/>
      <c r="X42" s="53" t="s">
        <v>86</v>
      </c>
      <c r="Y42" s="62">
        <f>AA42-V42</f>
        <v>23626.689999999944</v>
      </c>
      <c r="Z42" s="69"/>
      <c r="AA42" s="67">
        <f>3407897.36-3292611.55</f>
        <v>115285.81000000006</v>
      </c>
      <c r="AB42" s="69"/>
      <c r="AC42" s="62">
        <f>AE42-AA42</f>
        <v>39518.939999999944</v>
      </c>
      <c r="AD42" s="69"/>
      <c r="AE42" s="67">
        <f>3861959-3707154.25</f>
        <v>154804.75</v>
      </c>
      <c r="AF42" s="69"/>
      <c r="AG42" s="62">
        <f>AI42-AE42</f>
        <v>140434.58000000007</v>
      </c>
      <c r="AH42" s="69"/>
      <c r="AI42" s="67">
        <f>4521996.58-4226757.25</f>
        <v>295239.3300000001</v>
      </c>
      <c r="AJ42" s="69"/>
      <c r="AK42" s="62">
        <f t="shared" si="11"/>
        <v>38868.639999999665</v>
      </c>
      <c r="AL42" s="69"/>
      <c r="AM42" s="67">
        <f>5361050.3-5026942.33</f>
        <v>334107.96999999974</v>
      </c>
      <c r="AN42" s="69"/>
      <c r="AO42" s="62">
        <f>AQ42-AM42</f>
        <v>155392.5499999998</v>
      </c>
      <c r="AP42" s="69"/>
      <c r="AQ42" s="67">
        <f>5922553.88-5433053.36</f>
        <v>489500.51999999955</v>
      </c>
      <c r="AR42" s="67"/>
      <c r="AS42" s="62">
        <f>AU42-AQ42</f>
        <v>40722.65000000037</v>
      </c>
      <c r="AT42" s="69"/>
      <c r="AU42" s="67">
        <f>6453515.56-5923292.39</f>
        <v>530223.1699999999</v>
      </c>
    </row>
    <row r="43" spans="1:47" ht="6.75" customHeight="1">
      <c r="A43" s="53"/>
      <c r="B43" s="62"/>
      <c r="C43" s="69"/>
      <c r="D43" s="62"/>
      <c r="E43" s="69"/>
      <c r="F43" s="67"/>
      <c r="G43" s="67"/>
      <c r="H43" s="62"/>
      <c r="I43" s="69"/>
      <c r="J43" s="67"/>
      <c r="K43" s="67"/>
      <c r="L43" s="62"/>
      <c r="M43" s="69"/>
      <c r="N43" s="67"/>
      <c r="O43" s="69"/>
      <c r="P43" s="62"/>
      <c r="Q43" s="69"/>
      <c r="R43" s="67"/>
      <c r="S43" s="69"/>
      <c r="T43" s="62"/>
      <c r="U43" s="69"/>
      <c r="V43" s="67"/>
      <c r="W43" s="69"/>
      <c r="X43" s="53"/>
      <c r="Y43" s="62"/>
      <c r="Z43" s="69"/>
      <c r="AA43" s="67"/>
      <c r="AB43" s="69"/>
      <c r="AC43" s="62"/>
      <c r="AD43" s="69"/>
      <c r="AE43" s="67"/>
      <c r="AF43" s="69"/>
      <c r="AG43" s="62"/>
      <c r="AH43" s="69"/>
      <c r="AI43" s="67"/>
      <c r="AJ43" s="69"/>
      <c r="AK43" s="62"/>
      <c r="AL43" s="69"/>
      <c r="AM43" s="67"/>
      <c r="AN43" s="69"/>
      <c r="AO43" s="62"/>
      <c r="AP43" s="69"/>
      <c r="AQ43" s="67"/>
      <c r="AR43" s="67"/>
      <c r="AS43" s="62"/>
      <c r="AT43" s="69"/>
      <c r="AU43" s="67"/>
    </row>
    <row r="44" spans="1:47" ht="12" customHeight="1">
      <c r="A44" s="52" t="s">
        <v>56</v>
      </c>
      <c r="B44" s="58">
        <f>B45+B46</f>
        <v>22375.510000000002</v>
      </c>
      <c r="C44" s="73"/>
      <c r="D44" s="58">
        <f>F44-B44</f>
        <v>45531.52</v>
      </c>
      <c r="E44" s="73"/>
      <c r="F44" s="59">
        <f>F45+F46</f>
        <v>67907.03</v>
      </c>
      <c r="G44" s="59"/>
      <c r="H44" s="58">
        <f>J44-F44</f>
        <v>141129.53</v>
      </c>
      <c r="I44" s="73"/>
      <c r="J44" s="59">
        <f>J45+J46</f>
        <v>209036.56</v>
      </c>
      <c r="K44" s="59"/>
      <c r="L44" s="58">
        <f>N44-J44</f>
        <v>120348.63</v>
      </c>
      <c r="M44" s="73"/>
      <c r="N44" s="59">
        <f>N45+N46</f>
        <v>329385.19</v>
      </c>
      <c r="O44" s="73"/>
      <c r="P44" s="58">
        <f>R44-N44</f>
        <v>169934.88</v>
      </c>
      <c r="Q44" s="73"/>
      <c r="R44" s="59">
        <f>R45+R46</f>
        <v>499320.07</v>
      </c>
      <c r="S44" s="69"/>
      <c r="T44" s="58">
        <f>V44-R44</f>
        <v>211451.56</v>
      </c>
      <c r="U44" s="69"/>
      <c r="V44" s="59">
        <f>V45+V46</f>
        <v>710771.63</v>
      </c>
      <c r="W44" s="69"/>
      <c r="X44" s="53"/>
      <c r="Y44" s="58">
        <f>AA44-V44</f>
        <v>331720.03</v>
      </c>
      <c r="Z44" s="69"/>
      <c r="AA44" s="59">
        <f>AA45+AA46</f>
        <v>1042491.66</v>
      </c>
      <c r="AB44" s="69"/>
      <c r="AC44" s="58">
        <f>AE44-AA44</f>
        <v>254611.5199999999</v>
      </c>
      <c r="AD44" s="69"/>
      <c r="AE44" s="59">
        <f>AE46+AE45</f>
        <v>1297103.18</v>
      </c>
      <c r="AF44" s="69"/>
      <c r="AG44" s="58">
        <f>AI44-AE44</f>
        <v>265591.49</v>
      </c>
      <c r="AH44" s="69"/>
      <c r="AI44" s="59">
        <f>AI46+AI45</f>
        <v>1562694.67</v>
      </c>
      <c r="AJ44" s="69"/>
      <c r="AK44" s="62">
        <f t="shared" si="11"/>
        <v>255791.3500000001</v>
      </c>
      <c r="AL44" s="69"/>
      <c r="AM44" s="59">
        <f>AM46+AM45</f>
        <v>1818486.02</v>
      </c>
      <c r="AN44" s="69"/>
      <c r="AO44" s="62">
        <f>AQ44-AM44</f>
        <v>146519.02000000002</v>
      </c>
      <c r="AP44" s="69"/>
      <c r="AQ44" s="59">
        <f>AQ46+AQ45</f>
        <v>1965005.04</v>
      </c>
      <c r="AR44" s="67"/>
      <c r="AS44" s="58">
        <f>AU44-AQ44</f>
        <v>256049.73999999976</v>
      </c>
      <c r="AT44" s="69"/>
      <c r="AU44" s="59">
        <f>AU45+AU46</f>
        <v>2221054.78</v>
      </c>
    </row>
    <row r="45" spans="1:47" ht="12" customHeight="1">
      <c r="A45" s="53" t="s">
        <v>85</v>
      </c>
      <c r="B45" s="62">
        <v>18950.61</v>
      </c>
      <c r="C45" s="69"/>
      <c r="D45" s="62">
        <f>F45-B45</f>
        <v>44130.36</v>
      </c>
      <c r="E45" s="69"/>
      <c r="F45" s="67">
        <v>63080.97</v>
      </c>
      <c r="G45" s="67"/>
      <c r="H45" s="62">
        <f>J45-F45</f>
        <v>88043.06</v>
      </c>
      <c r="I45" s="69"/>
      <c r="J45" s="67">
        <v>151124.03</v>
      </c>
      <c r="K45" s="67"/>
      <c r="L45" s="62">
        <f>N45-J45</f>
        <v>74389.1</v>
      </c>
      <c r="M45" s="69"/>
      <c r="N45" s="67">
        <v>225513.13</v>
      </c>
      <c r="O45" s="69"/>
      <c r="P45" s="67">
        <v>225513.13</v>
      </c>
      <c r="Q45" s="69"/>
      <c r="R45" s="67">
        <v>374858.24</v>
      </c>
      <c r="S45" s="69"/>
      <c r="T45" s="62">
        <f>V45-R45</f>
        <v>182593.76</v>
      </c>
      <c r="U45" s="69"/>
      <c r="V45" s="67">
        <v>557452</v>
      </c>
      <c r="W45" s="69"/>
      <c r="X45" s="53"/>
      <c r="Y45" s="62">
        <f>AA45-V45</f>
        <v>286699.92000000004</v>
      </c>
      <c r="Z45" s="69"/>
      <c r="AA45" s="67">
        <v>844151.92</v>
      </c>
      <c r="AB45" s="69"/>
      <c r="AC45" s="62">
        <f>AE45-AA45</f>
        <v>213602.05999999994</v>
      </c>
      <c r="AD45" s="69"/>
      <c r="AE45" s="67">
        <v>1057753.98</v>
      </c>
      <c r="AF45" s="69"/>
      <c r="AG45" s="62">
        <f>AI45-AE45</f>
        <v>210552.92999999993</v>
      </c>
      <c r="AH45" s="69"/>
      <c r="AI45" s="67">
        <v>1268306.91</v>
      </c>
      <c r="AJ45" s="69"/>
      <c r="AK45" s="62">
        <f t="shared" si="11"/>
        <v>201568.80000000005</v>
      </c>
      <c r="AL45" s="69"/>
      <c r="AM45" s="67">
        <v>1469875.71</v>
      </c>
      <c r="AN45" s="69"/>
      <c r="AO45" s="62">
        <f>AQ45-AM45</f>
        <v>104485.6100000001</v>
      </c>
      <c r="AP45" s="69"/>
      <c r="AQ45" s="67">
        <v>1574361.32</v>
      </c>
      <c r="AR45" s="67"/>
      <c r="AS45" s="62">
        <f>AU45-AQ45</f>
        <v>122378.45999999996</v>
      </c>
      <c r="AT45" s="69"/>
      <c r="AU45" s="67">
        <v>1696739.78</v>
      </c>
    </row>
    <row r="46" spans="1:47" ht="12" customHeight="1">
      <c r="A46" s="53" t="s">
        <v>86</v>
      </c>
      <c r="B46" s="62">
        <f>3424.9-0</f>
        <v>3424.9</v>
      </c>
      <c r="C46" s="69"/>
      <c r="D46" s="62">
        <f>F46-B46</f>
        <v>1401.1599999999976</v>
      </c>
      <c r="E46" s="69"/>
      <c r="F46" s="67">
        <f>67907.03-63080.97</f>
        <v>4826.059999999998</v>
      </c>
      <c r="G46" s="67"/>
      <c r="H46" s="62">
        <f>J46-F46</f>
        <v>53086.47</v>
      </c>
      <c r="I46" s="69"/>
      <c r="J46" s="67">
        <f>209036.56-151124.03</f>
        <v>57912.53</v>
      </c>
      <c r="K46" s="67"/>
      <c r="L46" s="62">
        <f>N46-J46</f>
        <v>45959.53</v>
      </c>
      <c r="M46" s="69"/>
      <c r="N46" s="67">
        <f>329385.19-225513.13</f>
        <v>103872.06</v>
      </c>
      <c r="O46" s="69"/>
      <c r="P46" s="67">
        <v>225513.13</v>
      </c>
      <c r="Q46" s="69"/>
      <c r="R46" s="67">
        <f>499320.07-374858.24</f>
        <v>124461.83000000002</v>
      </c>
      <c r="S46" s="69"/>
      <c r="T46" s="62">
        <f>V46-R46</f>
        <v>28857.79999999999</v>
      </c>
      <c r="U46" s="69"/>
      <c r="V46" s="67">
        <f>710771.63-557452</f>
        <v>153319.63</v>
      </c>
      <c r="W46" s="69"/>
      <c r="X46" s="53"/>
      <c r="Y46" s="62">
        <f>AA46-V46</f>
        <v>45020.109999999986</v>
      </c>
      <c r="Z46" s="69"/>
      <c r="AA46" s="67">
        <f>1042491.66-844151.92</f>
        <v>198339.74</v>
      </c>
      <c r="AB46" s="69"/>
      <c r="AC46" s="62">
        <f>AE46-AA46</f>
        <v>41009.45999999996</v>
      </c>
      <c r="AD46" s="69"/>
      <c r="AE46" s="67">
        <f>1297103.18-1057753.98</f>
        <v>239349.19999999995</v>
      </c>
      <c r="AF46" s="69"/>
      <c r="AG46" s="62">
        <f>AI46-AE46</f>
        <v>55038.560000000056</v>
      </c>
      <c r="AH46" s="69"/>
      <c r="AI46" s="67">
        <f>1562694.67-1268306.91</f>
        <v>294387.76</v>
      </c>
      <c r="AJ46" s="69"/>
      <c r="AK46" s="62">
        <f t="shared" si="11"/>
        <v>54222.55000000005</v>
      </c>
      <c r="AL46" s="69"/>
      <c r="AM46" s="67">
        <f>1818486.02-1469875.71</f>
        <v>348610.31000000006</v>
      </c>
      <c r="AN46" s="69"/>
      <c r="AO46" s="62">
        <f>AQ46-AM46</f>
        <v>42033.409999999916</v>
      </c>
      <c r="AP46" s="69"/>
      <c r="AQ46" s="67">
        <f>1965005.04-1574361.32</f>
        <v>390643.72</v>
      </c>
      <c r="AR46" s="67"/>
      <c r="AS46" s="62">
        <f>AU46-AQ46</f>
        <v>133671.2799999998</v>
      </c>
      <c r="AT46" s="69"/>
      <c r="AU46" s="67">
        <f>2221054.78-1696739.78</f>
        <v>524314.9999999998</v>
      </c>
    </row>
    <row r="47" spans="1:47" ht="6.75" customHeight="1">
      <c r="A47" s="53"/>
      <c r="B47" s="62"/>
      <c r="C47" s="69"/>
      <c r="D47" s="62"/>
      <c r="E47" s="69"/>
      <c r="F47" s="67"/>
      <c r="G47" s="67"/>
      <c r="H47" s="62"/>
      <c r="I47" s="69"/>
      <c r="J47" s="67"/>
      <c r="K47" s="67"/>
      <c r="L47" s="62"/>
      <c r="M47" s="69"/>
      <c r="N47" s="67"/>
      <c r="O47" s="69"/>
      <c r="P47" s="62"/>
      <c r="Q47" s="69"/>
      <c r="R47" s="67"/>
      <c r="S47" s="69"/>
      <c r="T47" s="62"/>
      <c r="U47" s="69"/>
      <c r="V47" s="67"/>
      <c r="W47" s="69"/>
      <c r="X47" s="53"/>
      <c r="Y47" s="62"/>
      <c r="Z47" s="69"/>
      <c r="AA47" s="67"/>
      <c r="AB47" s="69"/>
      <c r="AC47" s="62"/>
      <c r="AD47" s="69"/>
      <c r="AE47" s="67"/>
      <c r="AF47" s="69"/>
      <c r="AG47" s="62"/>
      <c r="AH47" s="69"/>
      <c r="AI47" s="67"/>
      <c r="AJ47" s="69"/>
      <c r="AK47" s="62"/>
      <c r="AL47" s="69"/>
      <c r="AM47" s="67"/>
      <c r="AN47" s="69"/>
      <c r="AO47" s="62"/>
      <c r="AP47" s="69"/>
      <c r="AQ47" s="67"/>
      <c r="AR47" s="67"/>
      <c r="AS47" s="62"/>
      <c r="AT47" s="69"/>
      <c r="AU47" s="67"/>
    </row>
    <row r="48" spans="1:47" ht="12.75" customHeight="1">
      <c r="A48" s="52" t="s">
        <v>90</v>
      </c>
      <c r="B48" s="58">
        <f>B49+B50</f>
        <v>122305.68000000001</v>
      </c>
      <c r="C48" s="73"/>
      <c r="D48" s="58">
        <f>F48-B48</f>
        <v>301542.78</v>
      </c>
      <c r="E48" s="73"/>
      <c r="F48" s="59">
        <f>F49+F50</f>
        <v>423848.46</v>
      </c>
      <c r="G48" s="59"/>
      <c r="H48" s="58">
        <f>J48-F48</f>
        <v>690721.56</v>
      </c>
      <c r="I48" s="73"/>
      <c r="J48" s="59">
        <f>J49+J50</f>
        <v>1114570.02</v>
      </c>
      <c r="K48" s="59"/>
      <c r="L48" s="58">
        <f>N48-J48</f>
        <v>426270.75</v>
      </c>
      <c r="M48" s="73"/>
      <c r="N48" s="59">
        <f>N49+N50</f>
        <v>1540840.77</v>
      </c>
      <c r="O48" s="73"/>
      <c r="P48" s="58">
        <f>R48-N48</f>
        <v>972183.8300000001</v>
      </c>
      <c r="Q48" s="73"/>
      <c r="R48" s="59">
        <f>R49+R50</f>
        <v>2513024.6</v>
      </c>
      <c r="S48" s="73"/>
      <c r="T48" s="58">
        <f>V48-R48</f>
        <v>796482.06</v>
      </c>
      <c r="U48" s="73"/>
      <c r="V48" s="59">
        <f>V49+V50</f>
        <v>3309506.66</v>
      </c>
      <c r="W48" s="69"/>
      <c r="X48" s="52" t="s">
        <v>90</v>
      </c>
      <c r="Y48" s="58">
        <f>AA48-V48</f>
        <v>947078.9299999997</v>
      </c>
      <c r="Z48" s="69"/>
      <c r="AA48" s="59">
        <f>AA49+AA50</f>
        <v>4256585.59</v>
      </c>
      <c r="AB48" s="69"/>
      <c r="AC48" s="58">
        <f>AE48-AA48</f>
        <v>747004.1100000003</v>
      </c>
      <c r="AD48" s="69"/>
      <c r="AE48" s="59">
        <f>AE49+AE50</f>
        <v>5003589.7</v>
      </c>
      <c r="AF48" s="69"/>
      <c r="AG48" s="58">
        <f>AI48-AE48</f>
        <v>884311.4900000002</v>
      </c>
      <c r="AH48" s="69"/>
      <c r="AI48" s="59">
        <f>AI49+AI50</f>
        <v>5887901.19</v>
      </c>
      <c r="AJ48" s="69"/>
      <c r="AK48" s="62">
        <f>AM48-AI48</f>
        <v>1352955.0699999994</v>
      </c>
      <c r="AL48" s="69"/>
      <c r="AM48" s="59">
        <f>AM49+AM50</f>
        <v>7240856.26</v>
      </c>
      <c r="AN48" s="69"/>
      <c r="AO48" s="62">
        <f>AQ48-AM48</f>
        <v>595609.5700000003</v>
      </c>
      <c r="AP48" s="69"/>
      <c r="AQ48" s="59">
        <f>AQ49+AQ50</f>
        <v>7836465.83</v>
      </c>
      <c r="AR48" s="67"/>
      <c r="AS48" s="58">
        <f>AU48-AQ48</f>
        <v>717664.9499999993</v>
      </c>
      <c r="AT48" s="69"/>
      <c r="AU48" s="59">
        <f>AU49+AU50</f>
        <v>8554130.78</v>
      </c>
    </row>
    <row r="49" spans="1:47" ht="10.5" customHeight="1">
      <c r="A49" s="53" t="s">
        <v>85</v>
      </c>
      <c r="B49" s="62">
        <v>120304.8</v>
      </c>
      <c r="C49" s="69"/>
      <c r="D49" s="62">
        <f>F49-B49</f>
        <v>301542.78</v>
      </c>
      <c r="E49" s="69"/>
      <c r="F49" s="67">
        <v>421847.58</v>
      </c>
      <c r="G49" s="67"/>
      <c r="H49" s="62">
        <f>J49-F49</f>
        <v>689011.3999999999</v>
      </c>
      <c r="I49" s="69"/>
      <c r="J49" s="67">
        <v>1110858.98</v>
      </c>
      <c r="K49" s="67"/>
      <c r="L49" s="62">
        <f>N49-J49</f>
        <v>-445639.06999999995</v>
      </c>
      <c r="M49" s="69"/>
      <c r="N49" s="67">
        <v>665219.91</v>
      </c>
      <c r="O49" s="69"/>
      <c r="P49" s="67">
        <v>225513.13</v>
      </c>
      <c r="Q49" s="69"/>
      <c r="R49" s="67">
        <v>2481350.43</v>
      </c>
      <c r="S49" s="69"/>
      <c r="T49" s="67">
        <v>2481350.43</v>
      </c>
      <c r="U49" s="69"/>
      <c r="V49" s="67">
        <v>3240057.42</v>
      </c>
      <c r="W49" s="69"/>
      <c r="X49" s="53" t="s">
        <v>85</v>
      </c>
      <c r="Y49" s="62">
        <f>AA49-V49</f>
        <v>936693.9900000002</v>
      </c>
      <c r="Z49" s="69"/>
      <c r="AA49" s="67">
        <v>4176751.41</v>
      </c>
      <c r="AB49" s="69"/>
      <c r="AC49" s="62">
        <f>AE49-AA49</f>
        <v>705880.4799999995</v>
      </c>
      <c r="AD49" s="69"/>
      <c r="AE49" s="67">
        <v>4882631.89</v>
      </c>
      <c r="AF49" s="69"/>
      <c r="AG49" s="62">
        <f>AI49-AE49</f>
        <v>833782.6800000006</v>
      </c>
      <c r="AH49" s="69"/>
      <c r="AI49" s="67">
        <v>5716414.57</v>
      </c>
      <c r="AJ49" s="69"/>
      <c r="AK49" s="62">
        <f t="shared" si="11"/>
        <v>1301827.0299999993</v>
      </c>
      <c r="AL49" s="69"/>
      <c r="AM49" s="67">
        <v>7018241.6</v>
      </c>
      <c r="AN49" s="69"/>
      <c r="AO49" s="62">
        <f>AQ49-AM49</f>
        <v>576899.3500000006</v>
      </c>
      <c r="AP49" s="69"/>
      <c r="AQ49" s="67">
        <v>7595140.95</v>
      </c>
      <c r="AR49" s="67"/>
      <c r="AS49" s="62">
        <f>AU49-AQ49</f>
        <v>680286.0599999996</v>
      </c>
      <c r="AT49" s="69"/>
      <c r="AU49" s="67">
        <v>8275427.01</v>
      </c>
    </row>
    <row r="50" spans="1:47" ht="12" customHeight="1">
      <c r="A50" s="53" t="s">
        <v>86</v>
      </c>
      <c r="B50" s="62">
        <f>2000.88-0</f>
        <v>2000.88</v>
      </c>
      <c r="C50" s="69"/>
      <c r="D50" s="62">
        <f>F50-B50</f>
        <v>4.547473508864641E-12</v>
      </c>
      <c r="E50" s="69"/>
      <c r="F50" s="67">
        <f>423848.46-421847.58</f>
        <v>2000.8800000000047</v>
      </c>
      <c r="G50" s="67"/>
      <c r="H50" s="62">
        <f>J50-F50</f>
        <v>1710.1600000000326</v>
      </c>
      <c r="I50" s="69"/>
      <c r="J50" s="67">
        <f>1114570.02-1110858.98</f>
        <v>3711.0400000000373</v>
      </c>
      <c r="K50" s="67"/>
      <c r="L50" s="62">
        <f>N50-J50</f>
        <v>871909.82</v>
      </c>
      <c r="M50" s="69"/>
      <c r="N50" s="67">
        <f>1540840.77-665219.91</f>
        <v>875620.86</v>
      </c>
      <c r="O50" s="69"/>
      <c r="P50" s="67">
        <v>225513.13</v>
      </c>
      <c r="Q50" s="69"/>
      <c r="R50" s="67">
        <f>2513024.6-2481350.43</f>
        <v>31674.169999999925</v>
      </c>
      <c r="S50" s="69"/>
      <c r="T50" s="67">
        <f>2513024.6-2481350.43</f>
        <v>31674.169999999925</v>
      </c>
      <c r="U50" s="69"/>
      <c r="V50" s="67">
        <f>3309506.66-3240057.42</f>
        <v>69449.24000000022</v>
      </c>
      <c r="W50" s="69"/>
      <c r="X50" s="53" t="s">
        <v>86</v>
      </c>
      <c r="Y50" s="62">
        <f>AA50-V50</f>
        <v>10384.939999999478</v>
      </c>
      <c r="Z50" s="69"/>
      <c r="AA50" s="67">
        <f>4256585.59-4176751.41</f>
        <v>79834.1799999997</v>
      </c>
      <c r="AB50" s="69"/>
      <c r="AC50" s="62">
        <f>AE50-AA50</f>
        <v>41123.63000000082</v>
      </c>
      <c r="AD50" s="69"/>
      <c r="AE50" s="67">
        <f>5003589.7-4882631.89</f>
        <v>120957.81000000052</v>
      </c>
      <c r="AF50" s="69"/>
      <c r="AG50" s="62">
        <f>AI50-AE50</f>
        <v>50528.80999999959</v>
      </c>
      <c r="AH50" s="69"/>
      <c r="AI50" s="67">
        <f>5887901.19-5716414.57</f>
        <v>171486.6200000001</v>
      </c>
      <c r="AJ50" s="69"/>
      <c r="AK50" s="62">
        <f t="shared" si="11"/>
        <v>51128.04000000004</v>
      </c>
      <c r="AL50" s="69"/>
      <c r="AM50" s="67">
        <f>7240856.26-7018241.6</f>
        <v>222614.66000000015</v>
      </c>
      <c r="AN50" s="69"/>
      <c r="AO50" s="62">
        <f>AQ50-AM50</f>
        <v>18710.21999999974</v>
      </c>
      <c r="AP50" s="69"/>
      <c r="AQ50" s="67">
        <f>7836465.83-7595140.95</f>
        <v>241324.8799999999</v>
      </c>
      <c r="AR50" s="67"/>
      <c r="AS50" s="62">
        <f>AU50-AQ50</f>
        <v>37378.889999999665</v>
      </c>
      <c r="AT50" s="69"/>
      <c r="AU50" s="67">
        <f>8554130.78-8275427.01</f>
        <v>278703.76999999955</v>
      </c>
    </row>
    <row r="51" spans="1:47" ht="6.75" customHeight="1">
      <c r="A51" s="53"/>
      <c r="B51" s="62"/>
      <c r="C51" s="69"/>
      <c r="D51" s="62"/>
      <c r="E51" s="69"/>
      <c r="F51" s="67"/>
      <c r="G51" s="67"/>
      <c r="H51" s="62"/>
      <c r="I51" s="69"/>
      <c r="J51" s="67"/>
      <c r="K51" s="67"/>
      <c r="L51" s="62"/>
      <c r="M51" s="69"/>
      <c r="N51" s="67"/>
      <c r="O51" s="69"/>
      <c r="P51" s="62"/>
      <c r="Q51" s="69"/>
      <c r="R51" s="67"/>
      <c r="S51" s="69"/>
      <c r="T51" s="62"/>
      <c r="U51" s="69"/>
      <c r="V51" s="67"/>
      <c r="W51" s="69"/>
      <c r="X51" s="53"/>
      <c r="Y51" s="62"/>
      <c r="Z51" s="69"/>
      <c r="AA51" s="67"/>
      <c r="AB51" s="69"/>
      <c r="AC51" s="62"/>
      <c r="AD51" s="69"/>
      <c r="AE51" s="67"/>
      <c r="AF51" s="69"/>
      <c r="AG51" s="62"/>
      <c r="AH51" s="69"/>
      <c r="AI51" s="67"/>
      <c r="AJ51" s="69"/>
      <c r="AK51" s="62"/>
      <c r="AL51" s="69"/>
      <c r="AM51" s="67"/>
      <c r="AN51" s="69"/>
      <c r="AO51" s="62"/>
      <c r="AP51" s="69"/>
      <c r="AQ51" s="67"/>
      <c r="AR51" s="67"/>
      <c r="AS51" s="62"/>
      <c r="AT51" s="69"/>
      <c r="AU51" s="67"/>
    </row>
    <row r="52" spans="1:47" ht="12.75" customHeight="1">
      <c r="A52" s="52" t="s">
        <v>91</v>
      </c>
      <c r="B52" s="58">
        <f>B53+B54</f>
        <v>126606.23</v>
      </c>
      <c r="C52" s="73"/>
      <c r="D52" s="58">
        <f>F52-B52</f>
        <v>355039.04000000004</v>
      </c>
      <c r="E52" s="73"/>
      <c r="F52" s="59">
        <f>F53+F54</f>
        <v>481645.27</v>
      </c>
      <c r="G52" s="59"/>
      <c r="H52" s="58">
        <f>J52-F52</f>
        <v>416706.04000000004</v>
      </c>
      <c r="I52" s="73"/>
      <c r="J52" s="59">
        <f>J53+J54</f>
        <v>898351.31</v>
      </c>
      <c r="K52" s="59"/>
      <c r="L52" s="58">
        <f>N52-J52</f>
        <v>473818.3899999999</v>
      </c>
      <c r="M52" s="73"/>
      <c r="N52" s="59">
        <f>N53+N54</f>
        <v>1372169.7</v>
      </c>
      <c r="O52" s="73"/>
      <c r="P52" s="58">
        <f>R52-N52</f>
        <v>459638.6300000001</v>
      </c>
      <c r="Q52" s="73"/>
      <c r="R52" s="59">
        <f>R53+R54</f>
        <v>1831808.33</v>
      </c>
      <c r="S52" s="73"/>
      <c r="T52" s="58">
        <f>V52-R52</f>
        <v>301968.91000000015</v>
      </c>
      <c r="U52" s="73"/>
      <c r="V52" s="59">
        <f>V53+V54</f>
        <v>2133777.24</v>
      </c>
      <c r="W52" s="69"/>
      <c r="X52" s="52" t="s">
        <v>91</v>
      </c>
      <c r="Y52" s="58">
        <f>AA52-V52</f>
        <v>473305.81999999983</v>
      </c>
      <c r="Z52" s="69"/>
      <c r="AA52" s="59">
        <f>AA53+AA54</f>
        <v>2607083.06</v>
      </c>
      <c r="AB52" s="69"/>
      <c r="AC52" s="58">
        <f>AE52-AA52</f>
        <v>295375.91000000015</v>
      </c>
      <c r="AD52" s="69"/>
      <c r="AE52" s="59">
        <f>AE53+AE54</f>
        <v>2902458.97</v>
      </c>
      <c r="AF52" s="69"/>
      <c r="AG52" s="58">
        <f>AI52-AE52</f>
        <v>652579.8399999999</v>
      </c>
      <c r="AH52" s="69"/>
      <c r="AI52" s="59">
        <f>AI53+AI54</f>
        <v>3555038.81</v>
      </c>
      <c r="AJ52" s="69"/>
      <c r="AK52" s="62">
        <f t="shared" si="11"/>
        <v>529919.0899999999</v>
      </c>
      <c r="AL52" s="69"/>
      <c r="AM52" s="59">
        <f>AM53+AM54</f>
        <v>4084957.9</v>
      </c>
      <c r="AN52" s="69"/>
      <c r="AO52" s="62">
        <f>AQ52-AM52</f>
        <v>125641.43999999994</v>
      </c>
      <c r="AP52" s="69"/>
      <c r="AQ52" s="59">
        <f>AQ53+AQ54</f>
        <v>4210599.34</v>
      </c>
      <c r="AR52" s="67"/>
      <c r="AS52" s="58">
        <f>AU52-AQ52</f>
        <v>519632.16000000015</v>
      </c>
      <c r="AT52" s="69"/>
      <c r="AU52" s="59">
        <f>AU53+AU54</f>
        <v>4730231.5</v>
      </c>
    </row>
    <row r="53" spans="1:47" ht="12.75" customHeight="1">
      <c r="A53" s="53" t="s">
        <v>85</v>
      </c>
      <c r="B53" s="62">
        <v>120346.8</v>
      </c>
      <c r="C53" s="69"/>
      <c r="D53" s="62">
        <f>F53-B53</f>
        <v>301542.78</v>
      </c>
      <c r="E53" s="69"/>
      <c r="F53" s="67">
        <v>421889.58</v>
      </c>
      <c r="G53" s="67"/>
      <c r="H53" s="62">
        <f>J53-F53</f>
        <v>175424.49999999994</v>
      </c>
      <c r="I53" s="69"/>
      <c r="J53" s="67">
        <v>597314.08</v>
      </c>
      <c r="K53" s="67"/>
      <c r="L53" s="62">
        <f>N53-J53</f>
        <v>67905.83000000007</v>
      </c>
      <c r="M53" s="69"/>
      <c r="N53" s="67">
        <v>665219.91</v>
      </c>
      <c r="O53" s="69"/>
      <c r="P53" s="62">
        <f>R53-N53</f>
        <v>157019.59999999998</v>
      </c>
      <c r="Q53" s="69"/>
      <c r="R53" s="67">
        <v>822239.51</v>
      </c>
      <c r="S53" s="69"/>
      <c r="T53" s="62">
        <f>V53-R53</f>
        <v>128140.72999999998</v>
      </c>
      <c r="U53" s="69"/>
      <c r="V53" s="67">
        <v>950380.24</v>
      </c>
      <c r="W53" s="69"/>
      <c r="X53" s="53" t="s">
        <v>85</v>
      </c>
      <c r="Y53" s="62">
        <f>AA53-V53</f>
        <v>186042.25</v>
      </c>
      <c r="Z53" s="69"/>
      <c r="AA53" s="67">
        <v>1136422.49</v>
      </c>
      <c r="AB53" s="69"/>
      <c r="AC53" s="62">
        <f>AE53-AA53</f>
        <v>70719.37000000011</v>
      </c>
      <c r="AD53" s="69"/>
      <c r="AE53" s="67">
        <v>1207141.86</v>
      </c>
      <c r="AF53" s="69"/>
      <c r="AG53" s="62">
        <f>AI53-AE53</f>
        <v>128833.0399999998</v>
      </c>
      <c r="AH53" s="69"/>
      <c r="AI53" s="67">
        <v>1335974.9</v>
      </c>
      <c r="AJ53" s="69"/>
      <c r="AK53" s="62">
        <f t="shared" si="11"/>
        <v>230764.31000000006</v>
      </c>
      <c r="AL53" s="69"/>
      <c r="AM53" s="67">
        <f>1566739.21</f>
        <v>1566739.21</v>
      </c>
      <c r="AN53" s="69"/>
      <c r="AO53" s="62">
        <f>AQ53-AM53</f>
        <v>78177.45999999996</v>
      </c>
      <c r="AP53" s="69"/>
      <c r="AQ53" s="67">
        <v>1644916.67</v>
      </c>
      <c r="AR53" s="67"/>
      <c r="AS53" s="62">
        <f>AU53-AQ53</f>
        <v>136777.66000000015</v>
      </c>
      <c r="AT53" s="69"/>
      <c r="AU53" s="67">
        <v>1781694.33</v>
      </c>
    </row>
    <row r="54" spans="1:47" ht="12.75" customHeight="1">
      <c r="A54" s="53" t="s">
        <v>86</v>
      </c>
      <c r="B54" s="62">
        <f>126606.23-120346.8</f>
        <v>6259.429999999993</v>
      </c>
      <c r="C54" s="69"/>
      <c r="D54" s="62">
        <f>F54-B54</f>
        <v>53496.26000000001</v>
      </c>
      <c r="E54" s="69"/>
      <c r="F54" s="67">
        <f>481645.27-421889.58</f>
        <v>59755.69</v>
      </c>
      <c r="G54" s="67"/>
      <c r="H54" s="62">
        <f>J54-F54</f>
        <v>241281.5400000001</v>
      </c>
      <c r="I54" s="69"/>
      <c r="J54" s="67">
        <f>898351.31-597314.08</f>
        <v>301037.2300000001</v>
      </c>
      <c r="K54" s="67"/>
      <c r="L54" s="62">
        <f>N54-J54</f>
        <v>405912.5599999998</v>
      </c>
      <c r="M54" s="69"/>
      <c r="N54" s="67">
        <f>1372169.7-665219.91</f>
        <v>706949.7899999999</v>
      </c>
      <c r="O54" s="69"/>
      <c r="P54" s="62">
        <f>R54-N54</f>
        <v>302619.03000000014</v>
      </c>
      <c r="Q54" s="69"/>
      <c r="R54" s="67">
        <f>1831808.82-822240</f>
        <v>1009568.8200000001</v>
      </c>
      <c r="S54" s="69"/>
      <c r="T54" s="62">
        <f>V54-R54</f>
        <v>173828.18000000017</v>
      </c>
      <c r="U54" s="69"/>
      <c r="V54" s="67">
        <f>2133777.24-950380.24</f>
        <v>1183397.0000000002</v>
      </c>
      <c r="W54" s="69"/>
      <c r="X54" s="53" t="s">
        <v>86</v>
      </c>
      <c r="Y54" s="62">
        <f>AA54-V54</f>
        <v>287263.56999999983</v>
      </c>
      <c r="Z54" s="69"/>
      <c r="AA54" s="67">
        <f>2607083.06-1136422.49</f>
        <v>1470660.57</v>
      </c>
      <c r="AB54" s="69"/>
      <c r="AC54" s="62">
        <f>AE54-AA54</f>
        <v>224656.54000000004</v>
      </c>
      <c r="AD54" s="69"/>
      <c r="AE54" s="67">
        <f>2902458.97-1207141.86</f>
        <v>1695317.11</v>
      </c>
      <c r="AF54" s="69"/>
      <c r="AG54" s="62">
        <f>AI54-AE54</f>
        <v>523746.80000000005</v>
      </c>
      <c r="AH54" s="69"/>
      <c r="AI54" s="67">
        <f>3555038.81-1335974.9</f>
        <v>2219063.91</v>
      </c>
      <c r="AJ54" s="69"/>
      <c r="AK54" s="62">
        <f t="shared" si="11"/>
        <v>299154.7799999998</v>
      </c>
      <c r="AL54" s="69"/>
      <c r="AM54" s="67">
        <f>4084957.9-1566739.21</f>
        <v>2518218.69</v>
      </c>
      <c r="AN54" s="69"/>
      <c r="AO54" s="62">
        <f>AQ54-AM54</f>
        <v>47463.97999999998</v>
      </c>
      <c r="AP54" s="69"/>
      <c r="AQ54" s="67">
        <f>4210599.34-1644916.67</f>
        <v>2565682.67</v>
      </c>
      <c r="AR54" s="67"/>
      <c r="AS54" s="62">
        <f>AU54-AQ54</f>
        <v>382854.5</v>
      </c>
      <c r="AT54" s="69"/>
      <c r="AU54" s="67">
        <f>4730231.5-1781694.33</f>
        <v>2948537.17</v>
      </c>
    </row>
    <row r="55" spans="1:47" ht="8.25" customHeight="1">
      <c r="A55" s="53"/>
      <c r="B55" s="62"/>
      <c r="C55" s="69"/>
      <c r="D55" s="62"/>
      <c r="E55" s="69"/>
      <c r="F55" s="67"/>
      <c r="G55" s="67"/>
      <c r="H55" s="62"/>
      <c r="I55" s="69"/>
      <c r="J55" s="67"/>
      <c r="K55" s="67"/>
      <c r="L55" s="62"/>
      <c r="M55" s="69"/>
      <c r="N55" s="67"/>
      <c r="O55" s="69"/>
      <c r="P55" s="62"/>
      <c r="Q55" s="69"/>
      <c r="R55" s="67"/>
      <c r="S55" s="69"/>
      <c r="T55" s="62"/>
      <c r="U55" s="69"/>
      <c r="V55" s="67"/>
      <c r="W55" s="69"/>
      <c r="X55" s="53"/>
      <c r="Y55" s="62"/>
      <c r="Z55" s="69"/>
      <c r="AA55" s="67"/>
      <c r="AB55" s="69"/>
      <c r="AC55" s="62"/>
      <c r="AD55" s="69"/>
      <c r="AE55" s="67"/>
      <c r="AF55" s="69"/>
      <c r="AG55" s="62"/>
      <c r="AH55" s="69"/>
      <c r="AI55" s="67"/>
      <c r="AJ55" s="69"/>
      <c r="AK55" s="62"/>
      <c r="AL55" s="69"/>
      <c r="AM55" s="67"/>
      <c r="AN55" s="69"/>
      <c r="AO55" s="62"/>
      <c r="AP55" s="69"/>
      <c r="AQ55" s="67"/>
      <c r="AR55" s="67"/>
      <c r="AS55" s="62"/>
      <c r="AT55" s="69"/>
      <c r="AU55" s="67"/>
    </row>
    <row r="56" spans="1:47" ht="11.25" customHeight="1">
      <c r="A56" s="52" t="s">
        <v>92</v>
      </c>
      <c r="B56" s="58">
        <f>B57+B58</f>
        <v>0</v>
      </c>
      <c r="C56" s="73"/>
      <c r="D56" s="58">
        <f>F56-B56</f>
        <v>0</v>
      </c>
      <c r="E56" s="73"/>
      <c r="F56" s="59">
        <f>F57+F58</f>
        <v>0</v>
      </c>
      <c r="G56" s="59"/>
      <c r="H56" s="58">
        <f>J56-F56</f>
        <v>138726.42</v>
      </c>
      <c r="I56" s="73"/>
      <c r="J56" s="59">
        <f>J57+J58</f>
        <v>138726.42</v>
      </c>
      <c r="K56" s="59"/>
      <c r="L56" s="58">
        <f>N56-J56</f>
        <v>141156.37999999998</v>
      </c>
      <c r="M56" s="73"/>
      <c r="N56" s="59">
        <f>N57+N58</f>
        <v>279882.8</v>
      </c>
      <c r="O56" s="73"/>
      <c r="P56" s="58">
        <f>R56-N56</f>
        <v>237584.14</v>
      </c>
      <c r="Q56" s="73"/>
      <c r="R56" s="59">
        <f>R57+R58</f>
        <v>517466.94</v>
      </c>
      <c r="S56" s="73"/>
      <c r="T56" s="58">
        <f>V56-R56</f>
        <v>184113.55</v>
      </c>
      <c r="U56" s="73"/>
      <c r="V56" s="59">
        <f>V57+V58</f>
        <v>701580.49</v>
      </c>
      <c r="W56" s="73"/>
      <c r="X56" s="52" t="s">
        <v>92</v>
      </c>
      <c r="Y56" s="58">
        <f>AA56-V56</f>
        <v>166382.31000000006</v>
      </c>
      <c r="Z56" s="73"/>
      <c r="AA56" s="59">
        <f>AA57+AA58</f>
        <v>867962.8</v>
      </c>
      <c r="AB56" s="73"/>
      <c r="AC56" s="58">
        <f>AE56-AA56</f>
        <v>162670.90999999992</v>
      </c>
      <c r="AD56" s="73"/>
      <c r="AE56" s="59">
        <f>AE57+AE58</f>
        <v>1030633.71</v>
      </c>
      <c r="AF56" s="73"/>
      <c r="AG56" s="58">
        <f>AI56-AE56</f>
        <v>165819.81000000006</v>
      </c>
      <c r="AH56" s="73"/>
      <c r="AI56" s="59">
        <f>AI57+AI58</f>
        <v>1196453.52</v>
      </c>
      <c r="AJ56" s="73"/>
      <c r="AK56" s="58">
        <f>AM56-AI56</f>
        <v>254587.46999999997</v>
      </c>
      <c r="AL56" s="73"/>
      <c r="AM56" s="59">
        <f>AM57+AM58</f>
        <v>1451040.99</v>
      </c>
      <c r="AN56" s="73"/>
      <c r="AO56" s="58">
        <f>AQ56-AM56</f>
        <v>186208.92999999993</v>
      </c>
      <c r="AP56" s="73"/>
      <c r="AQ56" s="59">
        <f>AQ57+AQ58</f>
        <v>1637249.92</v>
      </c>
      <c r="AR56" s="59"/>
      <c r="AS56" s="58">
        <f>AU56-AQ56</f>
        <v>215871.6100000001</v>
      </c>
      <c r="AT56" s="73"/>
      <c r="AU56" s="59">
        <f>AU57+AU58</f>
        <v>1853121.53</v>
      </c>
    </row>
    <row r="57" spans="1:47" ht="12" customHeight="1">
      <c r="A57" s="53" t="s">
        <v>85</v>
      </c>
      <c r="B57" s="62">
        <v>0</v>
      </c>
      <c r="C57" s="69"/>
      <c r="D57" s="62">
        <f>F57-B57</f>
        <v>0</v>
      </c>
      <c r="E57" s="69"/>
      <c r="F57" s="67">
        <v>0</v>
      </c>
      <c r="G57" s="67"/>
      <c r="H57" s="62">
        <f>J57-F57</f>
        <v>138726.42</v>
      </c>
      <c r="I57" s="69"/>
      <c r="J57" s="67">
        <v>138726.42</v>
      </c>
      <c r="K57" s="67"/>
      <c r="L57" s="62">
        <f>N57-J57</f>
        <v>141156.37999999998</v>
      </c>
      <c r="M57" s="69"/>
      <c r="N57" s="67">
        <v>279882.8</v>
      </c>
      <c r="O57" s="69"/>
      <c r="P57" s="62">
        <f>R57-N57</f>
        <v>222346.71000000002</v>
      </c>
      <c r="Q57" s="69"/>
      <c r="R57" s="67">
        <v>502229.51</v>
      </c>
      <c r="S57" s="69"/>
      <c r="T57" s="62">
        <f>V57-R57</f>
        <v>151914.05000000005</v>
      </c>
      <c r="U57" s="69"/>
      <c r="V57" s="67">
        <v>654143.56</v>
      </c>
      <c r="W57" s="69"/>
      <c r="X57" s="53" t="s">
        <v>85</v>
      </c>
      <c r="Y57" s="62">
        <f>AA57-V57</f>
        <v>155339.72999999998</v>
      </c>
      <c r="Z57" s="69"/>
      <c r="AA57" s="67">
        <v>809483.29</v>
      </c>
      <c r="AB57" s="69"/>
      <c r="AC57" s="62">
        <f>AE57-AA57</f>
        <v>158384.53999999992</v>
      </c>
      <c r="AD57" s="69"/>
      <c r="AE57" s="67">
        <v>967867.83</v>
      </c>
      <c r="AF57" s="69"/>
      <c r="AG57" s="62">
        <f>AI57-AE57</f>
        <v>155046.13</v>
      </c>
      <c r="AH57" s="69"/>
      <c r="AI57" s="67">
        <v>1122913.96</v>
      </c>
      <c r="AJ57" s="69"/>
      <c r="AK57" s="62">
        <f>AM57-AI57</f>
        <v>239619.15000000014</v>
      </c>
      <c r="AL57" s="69"/>
      <c r="AM57" s="67">
        <v>1362533.11</v>
      </c>
      <c r="AN57" s="69"/>
      <c r="AO57" s="62">
        <f>AQ57-AM57</f>
        <v>164984.75</v>
      </c>
      <c r="AP57" s="69"/>
      <c r="AQ57" s="67">
        <v>1527517.86</v>
      </c>
      <c r="AR57" s="67"/>
      <c r="AS57" s="62">
        <f>AU57-AQ57</f>
        <v>169219.66999999993</v>
      </c>
      <c r="AT57" s="69"/>
      <c r="AU57" s="67">
        <v>1696737.53</v>
      </c>
    </row>
    <row r="58" spans="1:47" ht="12" customHeight="1">
      <c r="A58" s="53" t="s">
        <v>86</v>
      </c>
      <c r="B58" s="62">
        <v>0</v>
      </c>
      <c r="C58" s="69"/>
      <c r="D58" s="62">
        <f>F58-B58</f>
        <v>0</v>
      </c>
      <c r="E58" s="69"/>
      <c r="F58" s="67">
        <v>0</v>
      </c>
      <c r="G58" s="67"/>
      <c r="H58" s="62">
        <f>J58-F58</f>
        <v>0</v>
      </c>
      <c r="I58" s="69"/>
      <c r="J58" s="67">
        <f>138726.42-138726.42</f>
        <v>0</v>
      </c>
      <c r="K58" s="67"/>
      <c r="L58" s="62"/>
      <c r="M58" s="69"/>
      <c r="N58" s="67"/>
      <c r="O58" s="69"/>
      <c r="P58" s="62">
        <f>R58-N58</f>
        <v>15237.429999999993</v>
      </c>
      <c r="Q58" s="69"/>
      <c r="R58" s="67">
        <f>517466.94-502229.51</f>
        <v>15237.429999999993</v>
      </c>
      <c r="S58" s="69"/>
      <c r="T58" s="62">
        <f>V58-R58</f>
        <v>32199.49999999994</v>
      </c>
      <c r="U58" s="69"/>
      <c r="V58" s="67">
        <f>701580.49-654143.56</f>
        <v>47436.929999999935</v>
      </c>
      <c r="W58" s="69"/>
      <c r="X58" s="53" t="s">
        <v>86</v>
      </c>
      <c r="Y58" s="62">
        <f>AA58-V58</f>
        <v>11042.580000000075</v>
      </c>
      <c r="Z58" s="69"/>
      <c r="AA58" s="67">
        <f>867962.8-809483.29</f>
        <v>58479.51000000001</v>
      </c>
      <c r="AB58" s="69"/>
      <c r="AC58" s="62">
        <f>AE58-AA58</f>
        <v>4286.369999999995</v>
      </c>
      <c r="AD58" s="69"/>
      <c r="AE58" s="67">
        <f>1030633.71-967867.83</f>
        <v>62765.880000000005</v>
      </c>
      <c r="AF58" s="69"/>
      <c r="AG58" s="62">
        <f>AI58-AE58</f>
        <v>10773.680000000051</v>
      </c>
      <c r="AH58" s="69"/>
      <c r="AI58" s="67">
        <f>1196453.52-1122913.96</f>
        <v>73539.56000000006</v>
      </c>
      <c r="AJ58" s="69"/>
      <c r="AK58" s="62">
        <f>AM58-AI58</f>
        <v>14968.319999999832</v>
      </c>
      <c r="AL58" s="69"/>
      <c r="AM58" s="67">
        <f>1451040.99-1362533.11</f>
        <v>88507.87999999989</v>
      </c>
      <c r="AN58" s="69"/>
      <c r="AO58" s="62">
        <f>AQ58-AM58</f>
        <v>21224.179999999935</v>
      </c>
      <c r="AP58" s="69"/>
      <c r="AQ58" s="67">
        <f>1637249.92-1527517.86</f>
        <v>109732.05999999982</v>
      </c>
      <c r="AR58" s="67"/>
      <c r="AS58" s="62">
        <f>AU58-AQ58</f>
        <v>46651.94000000018</v>
      </c>
      <c r="AT58" s="69"/>
      <c r="AU58" s="67">
        <f>1853121.53-1696737.53</f>
        <v>156384</v>
      </c>
    </row>
    <row r="59" spans="1:47" ht="6.75" customHeight="1">
      <c r="A59" s="53"/>
      <c r="B59" s="62"/>
      <c r="C59" s="69"/>
      <c r="D59" s="62"/>
      <c r="E59" s="69"/>
      <c r="F59" s="67"/>
      <c r="G59" s="67"/>
      <c r="H59" s="62"/>
      <c r="I59" s="69"/>
      <c r="J59" s="67"/>
      <c r="K59" s="67"/>
      <c r="L59" s="62"/>
      <c r="M59" s="69"/>
      <c r="N59" s="67"/>
      <c r="O59" s="69"/>
      <c r="P59" s="62"/>
      <c r="Q59" s="69"/>
      <c r="R59" s="67"/>
      <c r="S59" s="69"/>
      <c r="T59" s="62"/>
      <c r="U59" s="69"/>
      <c r="V59" s="67"/>
      <c r="W59" s="69"/>
      <c r="X59" s="53"/>
      <c r="Y59" s="62"/>
      <c r="Z59" s="69"/>
      <c r="AA59" s="67"/>
      <c r="AB59" s="69"/>
      <c r="AC59" s="62"/>
      <c r="AD59" s="69"/>
      <c r="AE59" s="67"/>
      <c r="AF59" s="69"/>
      <c r="AG59" s="62"/>
      <c r="AH59" s="69"/>
      <c r="AI59" s="67"/>
      <c r="AJ59" s="69"/>
      <c r="AK59" s="62"/>
      <c r="AL59" s="69"/>
      <c r="AM59" s="67"/>
      <c r="AN59" s="69"/>
      <c r="AO59" s="62"/>
      <c r="AP59" s="69"/>
      <c r="AQ59" s="67"/>
      <c r="AR59" s="67"/>
      <c r="AS59" s="62"/>
      <c r="AT59" s="69"/>
      <c r="AU59" s="67"/>
    </row>
    <row r="60" spans="1:47" ht="12" customHeight="1">
      <c r="A60" s="52" t="s">
        <v>63</v>
      </c>
      <c r="B60" s="58">
        <v>0</v>
      </c>
      <c r="C60" s="73"/>
      <c r="D60" s="58">
        <v>0</v>
      </c>
      <c r="E60" s="73"/>
      <c r="F60" s="59">
        <v>0</v>
      </c>
      <c r="G60" s="59">
        <v>0</v>
      </c>
      <c r="H60" s="58">
        <f>J60-F60</f>
        <v>950</v>
      </c>
      <c r="I60" s="73">
        <v>0</v>
      </c>
      <c r="J60" s="59">
        <v>950</v>
      </c>
      <c r="K60" s="59">
        <v>0</v>
      </c>
      <c r="L60" s="58">
        <v>0</v>
      </c>
      <c r="M60" s="73">
        <v>0</v>
      </c>
      <c r="N60" s="59">
        <v>950</v>
      </c>
      <c r="O60" s="73">
        <v>0</v>
      </c>
      <c r="P60" s="58">
        <v>0</v>
      </c>
      <c r="Q60" s="73">
        <v>0</v>
      </c>
      <c r="R60" s="59">
        <v>950</v>
      </c>
      <c r="S60" s="73">
        <v>0</v>
      </c>
      <c r="T60" s="62">
        <f>V60-R60</f>
        <v>23456.15</v>
      </c>
      <c r="U60" s="73"/>
      <c r="V60" s="59">
        <v>24406.15</v>
      </c>
      <c r="W60" s="73"/>
      <c r="X60" s="52" t="s">
        <v>63</v>
      </c>
      <c r="Y60" s="62">
        <f>AA60-V60</f>
        <v>39251.49</v>
      </c>
      <c r="Z60" s="73"/>
      <c r="AA60" s="59">
        <v>63657.64</v>
      </c>
      <c r="AB60" s="73"/>
      <c r="AC60" s="58">
        <f>AE60-AA60</f>
        <v>850</v>
      </c>
      <c r="AD60" s="73"/>
      <c r="AE60" s="59">
        <v>64507.64</v>
      </c>
      <c r="AF60" s="73"/>
      <c r="AG60" s="58">
        <f>AI60-AE60</f>
        <v>1248</v>
      </c>
      <c r="AH60" s="73"/>
      <c r="AI60" s="59">
        <v>65755.64</v>
      </c>
      <c r="AJ60" s="73"/>
      <c r="AK60" s="58">
        <f>AM60-AI60</f>
        <v>13221.419999999998</v>
      </c>
      <c r="AL60" s="73"/>
      <c r="AM60" s="59">
        <v>78977.06</v>
      </c>
      <c r="AN60" s="73"/>
      <c r="AO60" s="58">
        <f>AQ60-AM60</f>
        <v>38126.53</v>
      </c>
      <c r="AP60" s="73"/>
      <c r="AQ60" s="59">
        <v>117103.59</v>
      </c>
      <c r="AR60" s="59"/>
      <c r="AS60" s="58">
        <f>AU60-AQ60</f>
        <v>29748.209999999992</v>
      </c>
      <c r="AT60" s="73"/>
      <c r="AU60" s="59">
        <v>146851.8</v>
      </c>
    </row>
    <row r="61" spans="1:47" ht="7.5" customHeight="1">
      <c r="A61" s="53"/>
      <c r="B61" s="62"/>
      <c r="C61" s="69"/>
      <c r="D61" s="62"/>
      <c r="E61" s="69"/>
      <c r="F61" s="67"/>
      <c r="G61" s="67"/>
      <c r="H61" s="62"/>
      <c r="I61" s="69"/>
      <c r="J61" s="67"/>
      <c r="K61" s="67"/>
      <c r="L61" s="62"/>
      <c r="M61" s="69"/>
      <c r="N61" s="67"/>
      <c r="O61" s="69"/>
      <c r="P61" s="62"/>
      <c r="Q61" s="69"/>
      <c r="R61" s="67"/>
      <c r="S61" s="69"/>
      <c r="T61" s="62"/>
      <c r="U61" s="69"/>
      <c r="V61" s="67"/>
      <c r="W61" s="69"/>
      <c r="X61" s="53"/>
      <c r="Y61" s="62"/>
      <c r="Z61" s="69"/>
      <c r="AA61" s="67"/>
      <c r="AB61" s="69"/>
      <c r="AC61" s="62"/>
      <c r="AD61" s="69"/>
      <c r="AE61" s="67"/>
      <c r="AF61" s="69"/>
      <c r="AG61" s="62"/>
      <c r="AH61" s="69"/>
      <c r="AI61" s="67"/>
      <c r="AJ61" s="69"/>
      <c r="AK61" s="62"/>
      <c r="AL61" s="69"/>
      <c r="AM61" s="67"/>
      <c r="AN61" s="69"/>
      <c r="AO61" s="62"/>
      <c r="AP61" s="69"/>
      <c r="AQ61" s="67"/>
      <c r="AR61" s="67"/>
      <c r="AS61" s="62"/>
      <c r="AT61" s="69"/>
      <c r="AU61" s="67"/>
    </row>
    <row r="62" spans="1:47" ht="12" customHeight="1">
      <c r="A62" s="52" t="s">
        <v>57</v>
      </c>
      <c r="B62" s="58">
        <f>B63+B64</f>
        <v>194768.59</v>
      </c>
      <c r="C62" s="73"/>
      <c r="D62" s="58">
        <f>F62-B62</f>
        <v>448174.81000000006</v>
      </c>
      <c r="E62" s="73"/>
      <c r="F62" s="59">
        <f>F63+F64</f>
        <v>642943.4</v>
      </c>
      <c r="G62" s="59"/>
      <c r="H62" s="58">
        <f>J62-F62</f>
        <v>721715.4</v>
      </c>
      <c r="I62" s="73"/>
      <c r="J62" s="59">
        <f>J63+J64</f>
        <v>1364658.8</v>
      </c>
      <c r="K62" s="59"/>
      <c r="L62" s="58">
        <f>N62-J62</f>
        <v>442821.1599999999</v>
      </c>
      <c r="M62" s="73"/>
      <c r="N62" s="59">
        <f>N63+N64</f>
        <v>1807479.96</v>
      </c>
      <c r="O62" s="73"/>
      <c r="P62" s="58">
        <f>R62-N62</f>
        <v>804700.7999999998</v>
      </c>
      <c r="Q62" s="73"/>
      <c r="R62" s="59">
        <f>R63+R64</f>
        <v>2612180.76</v>
      </c>
      <c r="S62" s="73"/>
      <c r="T62" s="58">
        <f>V62-R62</f>
        <v>606565.3700000001</v>
      </c>
      <c r="U62" s="73"/>
      <c r="V62" s="59">
        <f>V63+V64</f>
        <v>3218746.13</v>
      </c>
      <c r="W62" s="73"/>
      <c r="X62" s="52" t="s">
        <v>57</v>
      </c>
      <c r="Y62" s="58">
        <f>AA62-V62</f>
        <v>748030.96</v>
      </c>
      <c r="Z62" s="73"/>
      <c r="AA62" s="59">
        <f>AA63+AA64</f>
        <v>3966777.09</v>
      </c>
      <c r="AB62" s="73"/>
      <c r="AC62" s="58">
        <f>AE62-AA62</f>
        <v>514953.58999999985</v>
      </c>
      <c r="AD62" s="73"/>
      <c r="AE62" s="59">
        <f>AE63+AE64</f>
        <v>4481730.68</v>
      </c>
      <c r="AF62" s="73"/>
      <c r="AG62" s="58">
        <f>AI62-AE62</f>
        <v>645198.9900000002</v>
      </c>
      <c r="AH62" s="73"/>
      <c r="AI62" s="59">
        <f>AI63+AI64</f>
        <v>5126929.67</v>
      </c>
      <c r="AJ62" s="73"/>
      <c r="AK62" s="58">
        <f>AM62-AI62</f>
        <v>1051693.6500000004</v>
      </c>
      <c r="AL62" s="73"/>
      <c r="AM62" s="59">
        <f>AM63+AM64</f>
        <v>6178623.32</v>
      </c>
      <c r="AN62" s="73"/>
      <c r="AO62" s="58">
        <f>AQ62-AM62</f>
        <v>1719701.1899999995</v>
      </c>
      <c r="AP62" s="73"/>
      <c r="AQ62" s="59">
        <f>AQ63+AQ64</f>
        <v>7898324.51</v>
      </c>
      <c r="AR62" s="59"/>
      <c r="AS62" s="58">
        <f>AU62-AQ62</f>
        <v>680651.5199999996</v>
      </c>
      <c r="AT62" s="73"/>
      <c r="AU62" s="59">
        <f>AU63+AU64</f>
        <v>8578976.03</v>
      </c>
    </row>
    <row r="63" spans="1:47" ht="12" customHeight="1">
      <c r="A63" s="53" t="s">
        <v>85</v>
      </c>
      <c r="B63" s="62">
        <v>194768.59</v>
      </c>
      <c r="C63" s="69"/>
      <c r="D63" s="62">
        <f>F63-B63</f>
        <v>448050.73</v>
      </c>
      <c r="E63" s="69"/>
      <c r="F63" s="67">
        <v>642819.32</v>
      </c>
      <c r="G63" s="67"/>
      <c r="H63" s="62">
        <f>J63-F63</f>
        <v>711147.7100000001</v>
      </c>
      <c r="I63" s="69"/>
      <c r="J63" s="67">
        <v>1353967.03</v>
      </c>
      <c r="K63" s="67"/>
      <c r="L63" s="62">
        <f>N63-J63</f>
        <v>442480.1599999999</v>
      </c>
      <c r="M63" s="69"/>
      <c r="N63" s="67">
        <v>1796447.19</v>
      </c>
      <c r="O63" s="69"/>
      <c r="P63" s="62">
        <f>R63-N63</f>
        <v>796790.6400000001</v>
      </c>
      <c r="Q63" s="69"/>
      <c r="R63" s="67">
        <v>2593237.83</v>
      </c>
      <c r="S63" s="69"/>
      <c r="T63" s="62">
        <f>V63-R63</f>
        <v>590971.0299999998</v>
      </c>
      <c r="U63" s="69"/>
      <c r="V63" s="67">
        <v>3184208.86</v>
      </c>
      <c r="W63" s="69"/>
      <c r="X63" s="53" t="s">
        <v>85</v>
      </c>
      <c r="Y63" s="62">
        <f>AA63-V63</f>
        <v>719145.8700000001</v>
      </c>
      <c r="Z63" s="69"/>
      <c r="AA63" s="67">
        <v>3903354.73</v>
      </c>
      <c r="AB63" s="69"/>
      <c r="AC63" s="62">
        <f>AE63-AA63</f>
        <v>510425.6999999997</v>
      </c>
      <c r="AD63" s="69"/>
      <c r="AE63" s="67">
        <v>4413780.43</v>
      </c>
      <c r="AF63" s="69"/>
      <c r="AG63" s="62">
        <f>AI63-AE63</f>
        <v>621379.4300000006</v>
      </c>
      <c r="AH63" s="69"/>
      <c r="AI63" s="67">
        <v>5035159.86</v>
      </c>
      <c r="AJ63" s="69"/>
      <c r="AK63" s="58">
        <f>AM63-AI63</f>
        <v>1039155.5800000001</v>
      </c>
      <c r="AL63" s="69"/>
      <c r="AM63" s="67">
        <v>6074315.44</v>
      </c>
      <c r="AN63" s="69"/>
      <c r="AO63" s="58">
        <f>AQ63-AM63</f>
        <v>1718461.5</v>
      </c>
      <c r="AP63" s="69"/>
      <c r="AQ63" s="67">
        <v>7792776.94</v>
      </c>
      <c r="AR63" s="67"/>
      <c r="AS63" s="62">
        <f>AU63-AQ63</f>
        <v>655581.0599999996</v>
      </c>
      <c r="AT63" s="69"/>
      <c r="AU63" s="67">
        <v>8448358</v>
      </c>
    </row>
    <row r="64" spans="1:47" ht="12" customHeight="1">
      <c r="A64" s="53" t="s">
        <v>86</v>
      </c>
      <c r="B64" s="62">
        <v>0</v>
      </c>
      <c r="C64" s="69"/>
      <c r="D64" s="62"/>
      <c r="E64" s="69"/>
      <c r="F64" s="67">
        <f>642943.4-642819.32</f>
        <v>124.0800000000745</v>
      </c>
      <c r="G64" s="67"/>
      <c r="H64" s="62"/>
      <c r="I64" s="69"/>
      <c r="J64" s="67">
        <f>1364658.8-1353967.03</f>
        <v>10691.770000000019</v>
      </c>
      <c r="K64" s="67"/>
      <c r="L64" s="62">
        <f>N64-J64</f>
        <v>341</v>
      </c>
      <c r="M64" s="69"/>
      <c r="N64" s="67">
        <f>1807479.96-1796447.19</f>
        <v>11032.770000000019</v>
      </c>
      <c r="O64" s="69"/>
      <c r="P64" s="62">
        <f>R64-N64</f>
        <v>7910.159999999683</v>
      </c>
      <c r="Q64" s="69"/>
      <c r="R64" s="67">
        <f>2612180.76-2593237.83</f>
        <v>18942.929999999702</v>
      </c>
      <c r="S64" s="69"/>
      <c r="T64" s="62">
        <f>V64-R64</f>
        <v>15594.340000000317</v>
      </c>
      <c r="U64" s="69"/>
      <c r="V64" s="67">
        <f>3218746.13-3184208.86</f>
        <v>34537.27000000002</v>
      </c>
      <c r="W64" s="69"/>
      <c r="X64" s="53" t="s">
        <v>86</v>
      </c>
      <c r="Y64" s="62">
        <f>AA64-V64</f>
        <v>28885.08999999985</v>
      </c>
      <c r="Z64" s="69"/>
      <c r="AA64" s="67">
        <f>3966777.09-3903354.73</f>
        <v>63422.35999999987</v>
      </c>
      <c r="AB64" s="69"/>
      <c r="AC64" s="62">
        <f>AE64-AA64</f>
        <v>4527.89000000013</v>
      </c>
      <c r="AD64" s="69"/>
      <c r="AE64" s="67">
        <f>4481730.68-4413780.43</f>
        <v>67950.25</v>
      </c>
      <c r="AF64" s="69"/>
      <c r="AG64" s="62">
        <f>AI64-AE64</f>
        <v>23819.55999999959</v>
      </c>
      <c r="AH64" s="69"/>
      <c r="AI64" s="67">
        <f>5126929.67-5035159.86</f>
        <v>91769.80999999959</v>
      </c>
      <c r="AJ64" s="69"/>
      <c r="AK64" s="58">
        <f>AM64-AI64</f>
        <v>12538.070000000298</v>
      </c>
      <c r="AL64" s="69"/>
      <c r="AM64" s="67">
        <f>6178623.32-6074315.44</f>
        <v>104307.87999999989</v>
      </c>
      <c r="AN64" s="69"/>
      <c r="AO64" s="58">
        <f>AQ64-AM64</f>
        <v>1239.6899999994785</v>
      </c>
      <c r="AP64" s="69"/>
      <c r="AQ64" s="67">
        <f>7898324.51-7792776.94</f>
        <v>105547.56999999937</v>
      </c>
      <c r="AR64" s="67"/>
      <c r="AS64" s="62">
        <f>AU64-AQ64</f>
        <v>25070.459999999963</v>
      </c>
      <c r="AT64" s="69"/>
      <c r="AU64" s="67">
        <f>8578976.03-8448358</f>
        <v>130618.02999999933</v>
      </c>
    </row>
    <row r="65" spans="1:47" ht="7.5" customHeight="1">
      <c r="A65" s="53"/>
      <c r="B65" s="62"/>
      <c r="C65" s="69"/>
      <c r="D65" s="62"/>
      <c r="E65" s="69"/>
      <c r="F65" s="67"/>
      <c r="G65" s="67"/>
      <c r="H65" s="62"/>
      <c r="I65" s="69"/>
      <c r="J65" s="67"/>
      <c r="K65" s="67"/>
      <c r="L65" s="62"/>
      <c r="M65" s="69"/>
      <c r="N65" s="67"/>
      <c r="O65" s="69"/>
      <c r="P65" s="62"/>
      <c r="Q65" s="69"/>
      <c r="R65" s="67"/>
      <c r="S65" s="69"/>
      <c r="T65" s="62"/>
      <c r="U65" s="69"/>
      <c r="V65" s="67"/>
      <c r="W65" s="69"/>
      <c r="X65" s="53"/>
      <c r="Y65" s="62"/>
      <c r="Z65" s="69"/>
      <c r="AA65" s="67"/>
      <c r="AB65" s="69"/>
      <c r="AC65" s="62"/>
      <c r="AD65" s="69"/>
      <c r="AE65" s="67"/>
      <c r="AF65" s="69"/>
      <c r="AG65" s="62"/>
      <c r="AH65" s="69"/>
      <c r="AI65" s="67"/>
      <c r="AJ65" s="69"/>
      <c r="AK65" s="62"/>
      <c r="AL65" s="69"/>
      <c r="AM65" s="67"/>
      <c r="AN65" s="69"/>
      <c r="AO65" s="62"/>
      <c r="AP65" s="69"/>
      <c r="AQ65" s="67"/>
      <c r="AR65" s="67"/>
      <c r="AS65" s="62"/>
      <c r="AT65" s="69"/>
      <c r="AU65" s="67"/>
    </row>
    <row r="66" spans="1:47" ht="18.75" customHeight="1">
      <c r="A66" s="52" t="s">
        <v>58</v>
      </c>
      <c r="B66" s="58">
        <f>B67+B68</f>
        <v>30507.210000000003</v>
      </c>
      <c r="C66" s="73"/>
      <c r="D66" s="58">
        <f>F66-B66</f>
        <v>76312.04999999999</v>
      </c>
      <c r="E66" s="73"/>
      <c r="F66" s="59">
        <f>F67+F68</f>
        <v>106819.26</v>
      </c>
      <c r="G66" s="59"/>
      <c r="H66" s="58">
        <f>J66-F66</f>
        <v>97416.21</v>
      </c>
      <c r="I66" s="73"/>
      <c r="J66" s="59">
        <f>J67+J68</f>
        <v>204235.47</v>
      </c>
      <c r="K66" s="59"/>
      <c r="L66" s="58">
        <f>N66-J66</f>
        <v>76225.62000000002</v>
      </c>
      <c r="M66" s="73"/>
      <c r="N66" s="59">
        <f>N67+N68</f>
        <v>280461.09</v>
      </c>
      <c r="O66" s="73"/>
      <c r="P66" s="58">
        <f>R66-N66</f>
        <v>129506.48999999999</v>
      </c>
      <c r="Q66" s="73"/>
      <c r="R66" s="59">
        <f>R67+R68</f>
        <v>409967.58</v>
      </c>
      <c r="S66" s="73"/>
      <c r="T66" s="58">
        <f>V66-R66</f>
        <v>88680.21999999997</v>
      </c>
      <c r="U66" s="73"/>
      <c r="V66" s="59">
        <f>V67+V68</f>
        <v>498647.8</v>
      </c>
      <c r="W66" s="73"/>
      <c r="X66" s="52" t="s">
        <v>58</v>
      </c>
      <c r="Y66" s="58">
        <f>AA66-V66</f>
        <v>102998.63999999996</v>
      </c>
      <c r="Z66" s="73"/>
      <c r="AA66" s="59">
        <f>AA67+AA68</f>
        <v>601646.44</v>
      </c>
      <c r="AB66" s="73"/>
      <c r="AC66" s="58">
        <f>AE66-AA66</f>
        <v>79877.05000000005</v>
      </c>
      <c r="AD66" s="73"/>
      <c r="AE66" s="59">
        <f>AE67+AE68</f>
        <v>681523.49</v>
      </c>
      <c r="AF66" s="73"/>
      <c r="AG66" s="58">
        <f>AI66-AE66</f>
        <v>91493.84999999998</v>
      </c>
      <c r="AH66" s="73"/>
      <c r="AI66" s="59">
        <f>AI67+AI68</f>
        <v>773017.34</v>
      </c>
      <c r="AJ66" s="73"/>
      <c r="AK66" s="58">
        <f>AM66-AI66</f>
        <v>142006.31000000006</v>
      </c>
      <c r="AL66" s="73"/>
      <c r="AM66" s="59">
        <f>AM67+AM68</f>
        <v>915023.65</v>
      </c>
      <c r="AN66" s="73"/>
      <c r="AO66" s="58">
        <f>AQ66-AM66</f>
        <v>75394.81999999995</v>
      </c>
      <c r="AP66" s="73"/>
      <c r="AQ66" s="59">
        <f>AQ67+AQ68</f>
        <v>990418.47</v>
      </c>
      <c r="AR66" s="59"/>
      <c r="AS66" s="58">
        <f>AU66-AQ66</f>
        <v>99147.03000000003</v>
      </c>
      <c r="AT66" s="73"/>
      <c r="AU66" s="59">
        <f>AU67+AU68</f>
        <v>1089565.5</v>
      </c>
    </row>
    <row r="67" spans="1:47" ht="12" customHeight="1">
      <c r="A67" s="53" t="s">
        <v>85</v>
      </c>
      <c r="B67" s="62">
        <v>30398.99</v>
      </c>
      <c r="C67" s="69"/>
      <c r="D67" s="62">
        <f>F67-B67</f>
        <v>76017.54999999999</v>
      </c>
      <c r="E67" s="69"/>
      <c r="F67" s="67">
        <v>106416.54</v>
      </c>
      <c r="G67" s="67"/>
      <c r="H67" s="62">
        <f>J67-F67</f>
        <v>97416.21</v>
      </c>
      <c r="I67" s="69"/>
      <c r="J67" s="67">
        <v>203832.75</v>
      </c>
      <c r="K67" s="67"/>
      <c r="L67" s="62">
        <f>N67-J67</f>
        <v>72047.45000000001</v>
      </c>
      <c r="M67" s="69"/>
      <c r="N67" s="67">
        <v>275880.2</v>
      </c>
      <c r="O67" s="69"/>
      <c r="P67" s="62">
        <f>R67-N67</f>
        <v>123483.08999999997</v>
      </c>
      <c r="Q67" s="69"/>
      <c r="R67" s="67">
        <v>399363.29</v>
      </c>
      <c r="S67" s="69"/>
      <c r="T67" s="67">
        <v>399363.29</v>
      </c>
      <c r="U67" s="69"/>
      <c r="V67" s="67">
        <v>486232.68</v>
      </c>
      <c r="W67" s="69"/>
      <c r="X67" s="53" t="s">
        <v>85</v>
      </c>
      <c r="Y67" s="62">
        <f>AA67-V67</f>
        <v>100412.73000000004</v>
      </c>
      <c r="Z67" s="69"/>
      <c r="AA67" s="67">
        <v>586645.41</v>
      </c>
      <c r="AB67" s="69"/>
      <c r="AC67" s="62">
        <f>AE67-AA67</f>
        <v>76311.97999999998</v>
      </c>
      <c r="AD67" s="69"/>
      <c r="AE67" s="67">
        <v>662957.39</v>
      </c>
      <c r="AF67" s="69"/>
      <c r="AG67" s="62">
        <f>AI67-AE67</f>
        <v>88757.41000000003</v>
      </c>
      <c r="AH67" s="69"/>
      <c r="AI67" s="67">
        <v>751714.8</v>
      </c>
      <c r="AJ67" s="69"/>
      <c r="AK67" s="62">
        <f>AM67-AI67</f>
        <v>140024.26</v>
      </c>
      <c r="AL67" s="69"/>
      <c r="AM67" s="67">
        <v>891739.06</v>
      </c>
      <c r="AN67" s="69"/>
      <c r="AO67" s="67">
        <v>891739.06</v>
      </c>
      <c r="AP67" s="69"/>
      <c r="AQ67" s="67">
        <v>966483.88</v>
      </c>
      <c r="AR67" s="67"/>
      <c r="AS67" s="62">
        <f>AU67-AQ67</f>
        <v>87589.38</v>
      </c>
      <c r="AT67" s="69"/>
      <c r="AU67" s="67">
        <v>1054073.26</v>
      </c>
    </row>
    <row r="68" spans="1:47" ht="12" customHeight="1">
      <c r="A68" s="53" t="s">
        <v>86</v>
      </c>
      <c r="B68" s="62">
        <f>108.22-0</f>
        <v>108.22</v>
      </c>
      <c r="C68" s="69"/>
      <c r="D68" s="62">
        <f>F68-B68</f>
        <v>294.50000000000114</v>
      </c>
      <c r="E68" s="69"/>
      <c r="F68" s="67">
        <f>106819.26-106416.54</f>
        <v>402.72000000000116</v>
      </c>
      <c r="G68" s="67"/>
      <c r="H68" s="62">
        <f>J68-F68</f>
        <v>0</v>
      </c>
      <c r="I68" s="69"/>
      <c r="J68" s="67">
        <f>204235.47-203832.75</f>
        <v>402.72000000000116</v>
      </c>
      <c r="K68" s="67"/>
      <c r="L68" s="62">
        <f>N68-J68</f>
        <v>4178.170000000013</v>
      </c>
      <c r="M68" s="69"/>
      <c r="N68" s="67">
        <f>280461.09-275880.2</f>
        <v>4580.890000000014</v>
      </c>
      <c r="O68" s="69"/>
      <c r="P68" s="62">
        <f>R68-N68</f>
        <v>6023.400000000023</v>
      </c>
      <c r="Q68" s="69"/>
      <c r="R68" s="67">
        <f>409967.58-399363.29</f>
        <v>10604.290000000037</v>
      </c>
      <c r="S68" s="69"/>
      <c r="T68" s="67">
        <f>409967.58-399363.29</f>
        <v>10604.290000000037</v>
      </c>
      <c r="U68" s="69"/>
      <c r="V68" s="67">
        <f>498647.8-486232.68</f>
        <v>12415.119999999995</v>
      </c>
      <c r="W68" s="69"/>
      <c r="X68" s="53" t="s">
        <v>86</v>
      </c>
      <c r="Y68" s="62">
        <f>AA68-V68</f>
        <v>2585.909999999916</v>
      </c>
      <c r="Z68" s="69"/>
      <c r="AA68" s="67">
        <f>601646.44-586645.41</f>
        <v>15001.029999999912</v>
      </c>
      <c r="AB68" s="69"/>
      <c r="AC68" s="62">
        <f>AE68-AA68</f>
        <v>3565.070000000065</v>
      </c>
      <c r="AD68" s="69"/>
      <c r="AE68" s="67">
        <f>681523.49-662957.39</f>
        <v>18566.099999999977</v>
      </c>
      <c r="AF68" s="69"/>
      <c r="AG68" s="62">
        <f>AI68-AE68</f>
        <v>2736.439999999944</v>
      </c>
      <c r="AH68" s="69"/>
      <c r="AI68" s="67">
        <f>773017.34-751714.8</f>
        <v>21302.53999999992</v>
      </c>
      <c r="AJ68" s="69"/>
      <c r="AK68" s="62">
        <f>AM68-AI68</f>
        <v>1982.0500000000466</v>
      </c>
      <c r="AL68" s="69"/>
      <c r="AM68" s="67">
        <f>915023.65-891739.06</f>
        <v>23284.589999999967</v>
      </c>
      <c r="AN68" s="69"/>
      <c r="AO68" s="67">
        <f>915023.65-891739.06</f>
        <v>23284.589999999967</v>
      </c>
      <c r="AP68" s="69"/>
      <c r="AQ68" s="67">
        <f>990418.47-966483.88</f>
        <v>23934.589999999967</v>
      </c>
      <c r="AR68" s="67"/>
      <c r="AS68" s="62">
        <f>AU68-AQ68</f>
        <v>11557.650000000023</v>
      </c>
      <c r="AT68" s="69"/>
      <c r="AU68" s="67">
        <f>1089565.5-1054073.26</f>
        <v>35492.23999999999</v>
      </c>
    </row>
    <row r="69" spans="1:47" ht="7.5" customHeight="1">
      <c r="A69" s="53"/>
      <c r="B69" s="62"/>
      <c r="C69" s="69"/>
      <c r="D69" s="62"/>
      <c r="E69" s="69"/>
      <c r="F69" s="67"/>
      <c r="G69" s="67"/>
      <c r="H69" s="62"/>
      <c r="I69" s="69"/>
      <c r="J69" s="67"/>
      <c r="K69" s="67"/>
      <c r="L69" s="62"/>
      <c r="M69" s="69"/>
      <c r="N69" s="67"/>
      <c r="O69" s="69"/>
      <c r="P69" s="62"/>
      <c r="Q69" s="69"/>
      <c r="R69" s="67"/>
      <c r="S69" s="69"/>
      <c r="T69" s="62"/>
      <c r="U69" s="69"/>
      <c r="V69" s="67"/>
      <c r="W69" s="69"/>
      <c r="X69" s="53"/>
      <c r="Y69" s="62"/>
      <c r="Z69" s="69"/>
      <c r="AA69" s="67"/>
      <c r="AB69" s="69"/>
      <c r="AC69" s="62"/>
      <c r="AD69" s="69"/>
      <c r="AE69" s="67"/>
      <c r="AF69" s="69"/>
      <c r="AG69" s="62"/>
      <c r="AH69" s="69"/>
      <c r="AI69" s="67"/>
      <c r="AJ69" s="69"/>
      <c r="AK69" s="62"/>
      <c r="AL69" s="69"/>
      <c r="AM69" s="67"/>
      <c r="AN69" s="69"/>
      <c r="AO69" s="62"/>
      <c r="AP69" s="69"/>
      <c r="AQ69" s="67"/>
      <c r="AR69" s="67"/>
      <c r="AS69" s="62"/>
      <c r="AT69" s="69"/>
      <c r="AU69" s="67"/>
    </row>
    <row r="70" spans="1:47" ht="12" customHeight="1">
      <c r="A70" s="52" t="s">
        <v>59</v>
      </c>
      <c r="B70" s="58">
        <f>B71+B72</f>
        <v>43868.26</v>
      </c>
      <c r="C70" s="73"/>
      <c r="D70" s="58">
        <f>F70-B70</f>
        <v>108600.15</v>
      </c>
      <c r="E70" s="73"/>
      <c r="F70" s="59">
        <f>F71+F72</f>
        <v>152468.41</v>
      </c>
      <c r="G70" s="59"/>
      <c r="H70" s="58">
        <f>J70-F70</f>
        <v>138437.49000000002</v>
      </c>
      <c r="I70" s="73"/>
      <c r="J70" s="59">
        <f>J71+J72</f>
        <v>290905.9</v>
      </c>
      <c r="K70" s="59"/>
      <c r="L70" s="58">
        <f>N70-J70</f>
        <v>103265.81</v>
      </c>
      <c r="M70" s="73"/>
      <c r="N70" s="59">
        <f>N71+N72</f>
        <v>394171.71</v>
      </c>
      <c r="O70" s="73"/>
      <c r="P70" s="58">
        <f>R70-N70</f>
        <v>183381.34000000003</v>
      </c>
      <c r="Q70" s="73"/>
      <c r="R70" s="59">
        <f>R71+R72</f>
        <v>577553.05</v>
      </c>
      <c r="S70" s="73"/>
      <c r="T70" s="58">
        <f>V70-R70</f>
        <v>130414.25</v>
      </c>
      <c r="U70" s="73"/>
      <c r="V70" s="59">
        <f>V71+V72</f>
        <v>707967.3</v>
      </c>
      <c r="W70" s="73"/>
      <c r="X70" s="52" t="s">
        <v>59</v>
      </c>
      <c r="Y70" s="58">
        <f>AA70-V70</f>
        <v>148889.80999999994</v>
      </c>
      <c r="Z70" s="73"/>
      <c r="AA70" s="59">
        <f>AA71+AA72</f>
        <v>856857.11</v>
      </c>
      <c r="AB70" s="73"/>
      <c r="AC70" s="58">
        <f>AE70-AA70</f>
        <v>117161.98999999999</v>
      </c>
      <c r="AD70" s="73"/>
      <c r="AE70" s="59">
        <f>AE71+AE72</f>
        <v>974019.1</v>
      </c>
      <c r="AF70" s="73"/>
      <c r="AG70" s="58">
        <f>AI70-AE70</f>
        <v>131592.34999999998</v>
      </c>
      <c r="AH70" s="73"/>
      <c r="AI70" s="59">
        <f>AI71+AI72</f>
        <v>1105611.45</v>
      </c>
      <c r="AJ70" s="73"/>
      <c r="AK70" s="58">
        <f>AM70-AI70</f>
        <v>205146.90000000014</v>
      </c>
      <c r="AL70" s="73"/>
      <c r="AM70" s="59">
        <f>AM71+AM72</f>
        <v>1310758.35</v>
      </c>
      <c r="AN70" s="73"/>
      <c r="AO70" s="58">
        <f>AQ70-AM70</f>
        <v>125905.79999999981</v>
      </c>
      <c r="AP70" s="73"/>
      <c r="AQ70" s="59">
        <f>AQ71+AQ72</f>
        <v>1436664.15</v>
      </c>
      <c r="AR70" s="59"/>
      <c r="AS70" s="58">
        <f>AU70-AQ70</f>
        <v>121222.19000000018</v>
      </c>
      <c r="AT70" s="73"/>
      <c r="AU70" s="59">
        <f>AU71+AU72</f>
        <v>1557886.34</v>
      </c>
    </row>
    <row r="71" spans="1:47" ht="12" customHeight="1">
      <c r="A71" s="53" t="s">
        <v>85</v>
      </c>
      <c r="B71" s="62">
        <v>43169.16</v>
      </c>
      <c r="C71" s="69"/>
      <c r="D71" s="62">
        <f>F71-B71</f>
        <v>107952.15</v>
      </c>
      <c r="E71" s="69"/>
      <c r="F71" s="67">
        <v>151121.31</v>
      </c>
      <c r="G71" s="67"/>
      <c r="H71" s="62">
        <f>J71-F71</f>
        <v>136852.45</v>
      </c>
      <c r="I71" s="69"/>
      <c r="J71" s="67">
        <v>287973.76</v>
      </c>
      <c r="K71" s="67"/>
      <c r="L71" s="62">
        <f>N71-J71</f>
        <v>102886.35999999999</v>
      </c>
      <c r="M71" s="69"/>
      <c r="N71" s="67">
        <v>390860.12</v>
      </c>
      <c r="O71" s="69"/>
      <c r="P71" s="62">
        <f>R71-N71</f>
        <v>176858.97999999998</v>
      </c>
      <c r="Q71" s="69"/>
      <c r="R71" s="67">
        <v>567719.1</v>
      </c>
      <c r="S71" s="69"/>
      <c r="T71" s="62">
        <f>V71-R71</f>
        <v>129194.21999999997</v>
      </c>
      <c r="U71" s="69"/>
      <c r="V71" s="67">
        <v>696913.32</v>
      </c>
      <c r="W71" s="69"/>
      <c r="X71" s="53" t="s">
        <v>85</v>
      </c>
      <c r="Y71" s="62">
        <f>AA71-V71</f>
        <v>148407.78000000003</v>
      </c>
      <c r="Z71" s="69"/>
      <c r="AA71" s="67">
        <v>845321.1</v>
      </c>
      <c r="AB71" s="69"/>
      <c r="AC71" s="62">
        <f>AE71-AA71</f>
        <v>115076.71999999997</v>
      </c>
      <c r="AD71" s="69"/>
      <c r="AE71" s="67">
        <v>960397.82</v>
      </c>
      <c r="AF71" s="69"/>
      <c r="AG71" s="62">
        <f>AI71-AE71</f>
        <v>130358.9800000001</v>
      </c>
      <c r="AH71" s="69"/>
      <c r="AI71" s="67">
        <v>1090756.8</v>
      </c>
      <c r="AJ71" s="69"/>
      <c r="AK71" s="62">
        <f>AM71-AI71</f>
        <v>203086.36999999988</v>
      </c>
      <c r="AL71" s="69"/>
      <c r="AM71" s="67">
        <v>1293843.17</v>
      </c>
      <c r="AN71" s="69"/>
      <c r="AO71" s="58">
        <f>AQ71-AM71</f>
        <v>103014.80000000005</v>
      </c>
      <c r="AP71" s="69"/>
      <c r="AQ71" s="67">
        <v>1396857.97</v>
      </c>
      <c r="AR71" s="67"/>
      <c r="AS71" s="62">
        <f>AU71-AQ71</f>
        <v>115031.28000000003</v>
      </c>
      <c r="AT71" s="69"/>
      <c r="AU71" s="67">
        <v>1511889.25</v>
      </c>
    </row>
    <row r="72" spans="1:47" ht="12" customHeight="1">
      <c r="A72" s="53" t="s">
        <v>86</v>
      </c>
      <c r="B72" s="62">
        <f>699.1-0</f>
        <v>699.1</v>
      </c>
      <c r="C72" s="69"/>
      <c r="D72" s="62">
        <f>F72-B72</f>
        <v>648.0000000000058</v>
      </c>
      <c r="E72" s="69"/>
      <c r="F72" s="67">
        <f>152468.41-151121.31</f>
        <v>1347.1000000000058</v>
      </c>
      <c r="G72" s="67"/>
      <c r="H72" s="62">
        <f>J72-F72</f>
        <v>1585.0400000000081</v>
      </c>
      <c r="I72" s="69"/>
      <c r="J72" s="67">
        <f>290905.9-287973.76</f>
        <v>2932.140000000014</v>
      </c>
      <c r="K72" s="67"/>
      <c r="L72" s="62">
        <f>N72-J72</f>
        <v>379.45000000001164</v>
      </c>
      <c r="M72" s="69"/>
      <c r="N72" s="67">
        <f>394171.71-390860.12</f>
        <v>3311.5900000000256</v>
      </c>
      <c r="O72" s="69"/>
      <c r="P72" s="62">
        <f>R72-N72</f>
        <v>6522.360000000044</v>
      </c>
      <c r="Q72" s="69"/>
      <c r="R72" s="67">
        <f>577553.05-567719.1</f>
        <v>9833.95000000007</v>
      </c>
      <c r="S72" s="69"/>
      <c r="T72" s="62">
        <f>V72-R72</f>
        <v>1220.030000000028</v>
      </c>
      <c r="U72" s="69"/>
      <c r="V72" s="67">
        <f>707967.3-696913.32</f>
        <v>11053.980000000098</v>
      </c>
      <c r="W72" s="69"/>
      <c r="X72" s="53" t="s">
        <v>86</v>
      </c>
      <c r="Y72" s="62">
        <f>AA72-V72</f>
        <v>482.0299999999115</v>
      </c>
      <c r="Z72" s="69"/>
      <c r="AA72" s="67">
        <f>856857.11-845321.1</f>
        <v>11536.01000000001</v>
      </c>
      <c r="AB72" s="69"/>
      <c r="AC72" s="62">
        <f>AE72-AA72</f>
        <v>2085.2700000000186</v>
      </c>
      <c r="AD72" s="69"/>
      <c r="AE72" s="67">
        <f>974019.1-960397.82</f>
        <v>13621.280000000028</v>
      </c>
      <c r="AF72" s="69"/>
      <c r="AG72" s="62">
        <f>AI72-AE72</f>
        <v>1233.369999999879</v>
      </c>
      <c r="AH72" s="69"/>
      <c r="AI72" s="67">
        <f>1105611.45-1090756.8</f>
        <v>14854.649999999907</v>
      </c>
      <c r="AJ72" s="69"/>
      <c r="AK72" s="62">
        <f>AM72-AI72</f>
        <v>2060.5300000002608</v>
      </c>
      <c r="AL72" s="69"/>
      <c r="AM72" s="67">
        <f>1310758.35-1293843.17</f>
        <v>16915.180000000168</v>
      </c>
      <c r="AN72" s="69"/>
      <c r="AO72" s="58">
        <f>AQ72-AM72</f>
        <v>22890.999999999767</v>
      </c>
      <c r="AP72" s="69"/>
      <c r="AQ72" s="67">
        <f>1436664.15-1396857.97</f>
        <v>39806.179999999935</v>
      </c>
      <c r="AR72" s="67"/>
      <c r="AS72" s="62">
        <f>AU72-AQ72</f>
        <v>6190.910000000149</v>
      </c>
      <c r="AT72" s="69"/>
      <c r="AU72" s="67">
        <f>1557886.34-1511889.25</f>
        <v>45997.090000000084</v>
      </c>
    </row>
    <row r="73" spans="1:47" ht="7.5" customHeight="1">
      <c r="A73" s="55"/>
      <c r="B73" s="62"/>
      <c r="C73" s="69"/>
      <c r="D73" s="62"/>
      <c r="E73" s="69"/>
      <c r="F73" s="67"/>
      <c r="G73" s="67"/>
      <c r="H73" s="62"/>
      <c r="I73" s="69"/>
      <c r="J73" s="67"/>
      <c r="K73" s="67"/>
      <c r="L73" s="62"/>
      <c r="M73" s="69"/>
      <c r="N73" s="67"/>
      <c r="O73" s="69"/>
      <c r="P73" s="62"/>
      <c r="Q73" s="69"/>
      <c r="R73" s="67"/>
      <c r="S73" s="69"/>
      <c r="T73" s="62"/>
      <c r="U73" s="69"/>
      <c r="V73" s="67"/>
      <c r="W73" s="69"/>
      <c r="X73" s="55"/>
      <c r="Y73" s="62"/>
      <c r="Z73" s="69"/>
      <c r="AA73" s="67"/>
      <c r="AB73" s="69"/>
      <c r="AC73" s="62"/>
      <c r="AD73" s="69"/>
      <c r="AE73" s="67"/>
      <c r="AF73" s="69"/>
      <c r="AG73" s="62"/>
      <c r="AH73" s="69"/>
      <c r="AI73" s="67"/>
      <c r="AJ73" s="69"/>
      <c r="AK73" s="62"/>
      <c r="AL73" s="69"/>
      <c r="AM73" s="67"/>
      <c r="AN73" s="69"/>
      <c r="AO73" s="62"/>
      <c r="AP73" s="69"/>
      <c r="AQ73" s="67"/>
      <c r="AR73" s="67"/>
      <c r="AS73" s="62"/>
      <c r="AT73" s="69"/>
      <c r="AU73" s="67"/>
    </row>
    <row r="74" spans="1:47" ht="12" customHeight="1">
      <c r="A74" s="52" t="s">
        <v>60</v>
      </c>
      <c r="B74" s="58">
        <f>B75+B76</f>
        <v>3754</v>
      </c>
      <c r="C74" s="73"/>
      <c r="D74" s="58">
        <f>F74-B74</f>
        <v>133970.02000000002</v>
      </c>
      <c r="E74" s="73"/>
      <c r="F74" s="59">
        <f>F75+F76</f>
        <v>137724.02000000002</v>
      </c>
      <c r="G74" s="59"/>
      <c r="H74" s="58">
        <f>J74-F74</f>
        <v>131826.01</v>
      </c>
      <c r="I74" s="73"/>
      <c r="J74" s="59">
        <f>J75+J76</f>
        <v>269550.03</v>
      </c>
      <c r="K74" s="59"/>
      <c r="L74" s="58">
        <f>N74-J74</f>
        <v>131071.46999999997</v>
      </c>
      <c r="M74" s="73"/>
      <c r="N74" s="59">
        <f>N75+N76</f>
        <v>400621.5</v>
      </c>
      <c r="O74" s="73"/>
      <c r="P74" s="58">
        <f>R74-N74</f>
        <v>201713.82000000007</v>
      </c>
      <c r="Q74" s="73"/>
      <c r="R74" s="59">
        <f>R75+R76</f>
        <v>602335.3200000001</v>
      </c>
      <c r="S74" s="73"/>
      <c r="T74" s="58">
        <f>V74-R74</f>
        <v>128373.30999999994</v>
      </c>
      <c r="U74" s="73"/>
      <c r="V74" s="59">
        <f>V75+V76</f>
        <v>730708.63</v>
      </c>
      <c r="W74" s="73"/>
      <c r="X74" s="52" t="s">
        <v>60</v>
      </c>
      <c r="Y74" s="58">
        <f>AA74-V74</f>
        <v>389824.2400000001</v>
      </c>
      <c r="Z74" s="73"/>
      <c r="AA74" s="59">
        <f>AA75+AA76</f>
        <v>1120532.87</v>
      </c>
      <c r="AB74" s="73"/>
      <c r="AC74" s="58">
        <f>AE74-AA74</f>
        <v>186585.83999999985</v>
      </c>
      <c r="AD74" s="73"/>
      <c r="AE74" s="59">
        <f>AE75+AE76</f>
        <v>1307118.71</v>
      </c>
      <c r="AF74" s="73"/>
      <c r="AG74" s="58">
        <f>AI74-AE74</f>
        <v>106464.1100000001</v>
      </c>
      <c r="AH74" s="73"/>
      <c r="AI74" s="59">
        <f>AI75+AI76</f>
        <v>1413582.82</v>
      </c>
      <c r="AJ74" s="73"/>
      <c r="AK74" s="58">
        <f>AM74-AI74</f>
        <v>69342.16999999993</v>
      </c>
      <c r="AL74" s="73"/>
      <c r="AM74" s="59">
        <f>AM75+AM76</f>
        <v>1482924.99</v>
      </c>
      <c r="AN74" s="73"/>
      <c r="AO74" s="58">
        <f>AQ74-AM74</f>
        <v>69775.88000000012</v>
      </c>
      <c r="AP74" s="73"/>
      <c r="AQ74" s="59">
        <f>AQ75+AQ76</f>
        <v>1552700.87</v>
      </c>
      <c r="AR74" s="59"/>
      <c r="AS74" s="58">
        <f>AU74-AQ74</f>
        <v>137624.3899999999</v>
      </c>
      <c r="AT74" s="73"/>
      <c r="AU74" s="59">
        <f>AU75+AU76</f>
        <v>1690325.26</v>
      </c>
    </row>
    <row r="75" spans="1:47" ht="12" customHeight="1">
      <c r="A75" s="53" t="s">
        <v>85</v>
      </c>
      <c r="B75" s="62">
        <v>0</v>
      </c>
      <c r="C75" s="69"/>
      <c r="D75" s="62">
        <f>F75-B75</f>
        <v>0</v>
      </c>
      <c r="E75" s="69"/>
      <c r="F75" s="67">
        <v>0</v>
      </c>
      <c r="G75" s="67"/>
      <c r="H75" s="62">
        <f>J75-F75</f>
        <v>0</v>
      </c>
      <c r="I75" s="69"/>
      <c r="J75" s="67">
        <v>0</v>
      </c>
      <c r="K75" s="67"/>
      <c r="L75" s="62">
        <f>N75-J75</f>
        <v>0</v>
      </c>
      <c r="M75" s="69"/>
      <c r="N75" s="67">
        <v>0</v>
      </c>
      <c r="O75" s="69"/>
      <c r="P75" s="62">
        <f>R75-N75</f>
        <v>0</v>
      </c>
      <c r="Q75" s="69"/>
      <c r="R75" s="67">
        <v>0</v>
      </c>
      <c r="S75" s="69"/>
      <c r="T75" s="62">
        <f>V75-R75</f>
        <v>0</v>
      </c>
      <c r="U75" s="69"/>
      <c r="V75" s="67">
        <v>0</v>
      </c>
      <c r="W75" s="69"/>
      <c r="X75" s="53" t="s">
        <v>85</v>
      </c>
      <c r="Y75" s="62">
        <f>AA75-V75</f>
        <v>1120532.87</v>
      </c>
      <c r="Z75" s="69"/>
      <c r="AA75" s="67">
        <v>1120532.87</v>
      </c>
      <c r="AB75" s="69"/>
      <c r="AC75" s="62">
        <f>AE75-AA75</f>
        <v>186585.83999999985</v>
      </c>
      <c r="AD75" s="69"/>
      <c r="AE75" s="67">
        <v>1307118.71</v>
      </c>
      <c r="AF75" s="69"/>
      <c r="AG75" s="62">
        <f>AI75-AE75</f>
        <v>106464.1100000001</v>
      </c>
      <c r="AH75" s="69"/>
      <c r="AI75" s="67">
        <v>1413582.82</v>
      </c>
      <c r="AJ75" s="69"/>
      <c r="AK75" s="62">
        <f>AM75-AI75</f>
        <v>69342.16999999993</v>
      </c>
      <c r="AL75" s="69"/>
      <c r="AM75" s="67">
        <v>1482924.99</v>
      </c>
      <c r="AN75" s="69"/>
      <c r="AO75" s="62">
        <f>AQ75-AM75</f>
        <v>69775.88000000012</v>
      </c>
      <c r="AP75" s="69"/>
      <c r="AQ75" s="67">
        <v>1552700.87</v>
      </c>
      <c r="AR75" s="67"/>
      <c r="AS75" s="62">
        <f>AU75-AQ75</f>
        <v>137624.3899999999</v>
      </c>
      <c r="AT75" s="69"/>
      <c r="AU75" s="67">
        <v>1690325.26</v>
      </c>
    </row>
    <row r="76" spans="1:47" ht="12" customHeight="1">
      <c r="A76" s="53" t="s">
        <v>86</v>
      </c>
      <c r="B76" s="62">
        <f>732+3022</f>
        <v>3754</v>
      </c>
      <c r="C76" s="69"/>
      <c r="D76" s="62">
        <f>F76-B76</f>
        <v>133970.02000000002</v>
      </c>
      <c r="E76" s="69"/>
      <c r="F76" s="67">
        <f>126639.1+11084.92</f>
        <v>137724.02000000002</v>
      </c>
      <c r="G76" s="67"/>
      <c r="H76" s="62">
        <f>J76-F76</f>
        <v>131826.01</v>
      </c>
      <c r="I76" s="69"/>
      <c r="J76" s="67">
        <f>253880.32+15669.71</f>
        <v>269550.03</v>
      </c>
      <c r="K76" s="67"/>
      <c r="L76" s="62">
        <f>N76-J76</f>
        <v>131071.46999999997</v>
      </c>
      <c r="M76" s="69"/>
      <c r="N76" s="67">
        <f>377600.19+23021.31</f>
        <v>400621.5</v>
      </c>
      <c r="O76" s="69"/>
      <c r="P76" s="62">
        <f>R76-N76</f>
        <v>201713.82000000007</v>
      </c>
      <c r="Q76" s="69"/>
      <c r="R76" s="67">
        <f>583499.99+20604.67-2416.64+647.3</f>
        <v>602335.3200000001</v>
      </c>
      <c r="S76" s="69"/>
      <c r="T76" s="62"/>
      <c r="U76" s="69"/>
      <c r="V76" s="67">
        <f>728291.99+2416.64</f>
        <v>730708.63</v>
      </c>
      <c r="W76" s="69"/>
      <c r="X76" s="53" t="s">
        <v>86</v>
      </c>
      <c r="Y76" s="62"/>
      <c r="Z76" s="69"/>
      <c r="AA76" s="67"/>
      <c r="AB76" s="69"/>
      <c r="AC76" s="62"/>
      <c r="AD76" s="69"/>
      <c r="AE76" s="67"/>
      <c r="AF76" s="69"/>
      <c r="AG76" s="62"/>
      <c r="AH76" s="69"/>
      <c r="AI76" s="67"/>
      <c r="AJ76" s="69"/>
      <c r="AK76" s="62"/>
      <c r="AL76" s="69"/>
      <c r="AM76" s="67"/>
      <c r="AN76" s="69"/>
      <c r="AO76" s="62"/>
      <c r="AP76" s="69"/>
      <c r="AQ76" s="67"/>
      <c r="AR76" s="67"/>
      <c r="AS76" s="62"/>
      <c r="AT76" s="69"/>
      <c r="AU76" s="67"/>
    </row>
    <row r="77" spans="1:47" ht="12" customHeight="1">
      <c r="A77" s="53"/>
      <c r="B77" s="62"/>
      <c r="C77" s="69"/>
      <c r="D77" s="62"/>
      <c r="E77" s="69"/>
      <c r="F77" s="67"/>
      <c r="G77" s="67"/>
      <c r="H77" s="62"/>
      <c r="I77" s="69"/>
      <c r="J77" s="67"/>
      <c r="K77" s="67"/>
      <c r="L77" s="62"/>
      <c r="M77" s="69"/>
      <c r="N77" s="67"/>
      <c r="O77" s="69"/>
      <c r="P77" s="62"/>
      <c r="Q77" s="69"/>
      <c r="R77" s="67"/>
      <c r="S77" s="69"/>
      <c r="T77" s="62"/>
      <c r="U77" s="69"/>
      <c r="V77" s="67"/>
      <c r="W77" s="69"/>
      <c r="X77" s="53"/>
      <c r="Y77" s="62"/>
      <c r="Z77" s="69"/>
      <c r="AA77" s="67"/>
      <c r="AB77" s="69"/>
      <c r="AC77" s="62"/>
      <c r="AD77" s="69"/>
      <c r="AE77" s="67"/>
      <c r="AF77" s="69"/>
      <c r="AG77" s="62"/>
      <c r="AH77" s="69"/>
      <c r="AI77" s="67"/>
      <c r="AJ77" s="69"/>
      <c r="AK77" s="62"/>
      <c r="AL77" s="69"/>
      <c r="AM77" s="67"/>
      <c r="AN77" s="69"/>
      <c r="AO77" s="62"/>
      <c r="AP77" s="69"/>
      <c r="AQ77" s="67"/>
      <c r="AR77" s="67"/>
      <c r="AS77" s="62"/>
      <c r="AT77" s="69"/>
      <c r="AU77" s="67"/>
    </row>
    <row r="78" spans="1:47" ht="12" customHeight="1">
      <c r="A78" s="52" t="s">
        <v>51</v>
      </c>
      <c r="B78" s="58">
        <v>0</v>
      </c>
      <c r="C78" s="69"/>
      <c r="D78" s="62">
        <f>F78-B78</f>
        <v>0</v>
      </c>
      <c r="E78" s="69"/>
      <c r="F78" s="73">
        <v>0</v>
      </c>
      <c r="G78" s="67"/>
      <c r="H78" s="62">
        <f>J78-F78</f>
        <v>0</v>
      </c>
      <c r="I78" s="69"/>
      <c r="J78" s="73">
        <v>0</v>
      </c>
      <c r="K78" s="67"/>
      <c r="L78" s="58">
        <v>0</v>
      </c>
      <c r="M78" s="69"/>
      <c r="N78" s="73">
        <v>0</v>
      </c>
      <c r="O78" s="69"/>
      <c r="P78" s="58">
        <v>0</v>
      </c>
      <c r="Q78" s="69"/>
      <c r="R78" s="73">
        <v>0</v>
      </c>
      <c r="S78" s="69"/>
      <c r="T78" s="58">
        <v>0</v>
      </c>
      <c r="U78" s="69"/>
      <c r="V78" s="73">
        <v>0</v>
      </c>
      <c r="W78" s="69"/>
      <c r="X78" s="52" t="s">
        <v>51</v>
      </c>
      <c r="Y78" s="58">
        <v>0</v>
      </c>
      <c r="Z78" s="69"/>
      <c r="AA78" s="73">
        <v>0</v>
      </c>
      <c r="AB78" s="69"/>
      <c r="AC78" s="58">
        <v>0</v>
      </c>
      <c r="AD78" s="69"/>
      <c r="AE78" s="73">
        <v>0</v>
      </c>
      <c r="AF78" s="69"/>
      <c r="AG78" s="58">
        <v>0</v>
      </c>
      <c r="AH78" s="69"/>
      <c r="AI78" s="73">
        <v>0</v>
      </c>
      <c r="AJ78" s="69"/>
      <c r="AK78" s="58">
        <v>0</v>
      </c>
      <c r="AL78" s="69"/>
      <c r="AM78" s="73">
        <v>0</v>
      </c>
      <c r="AN78" s="69"/>
      <c r="AO78" s="58">
        <v>0</v>
      </c>
      <c r="AP78" s="69"/>
      <c r="AQ78" s="73">
        <v>0</v>
      </c>
      <c r="AR78" s="67"/>
      <c r="AS78" s="58">
        <f>AU78-AQ78</f>
        <v>1550000</v>
      </c>
      <c r="AT78" s="69"/>
      <c r="AU78" s="73">
        <v>1550000</v>
      </c>
    </row>
    <row r="79" spans="1:47" ht="12" customHeight="1">
      <c r="A79" s="52"/>
      <c r="B79" s="62"/>
      <c r="C79" s="69"/>
      <c r="D79" s="62"/>
      <c r="E79" s="69"/>
      <c r="F79" s="67"/>
      <c r="G79" s="67"/>
      <c r="H79" s="62"/>
      <c r="I79" s="69"/>
      <c r="J79" s="67"/>
      <c r="K79" s="67"/>
      <c r="L79" s="62"/>
      <c r="M79" s="69"/>
      <c r="N79" s="67"/>
      <c r="O79" s="69"/>
      <c r="P79" s="62"/>
      <c r="Q79" s="69"/>
      <c r="R79" s="67"/>
      <c r="S79" s="69"/>
      <c r="T79" s="62"/>
      <c r="U79" s="69"/>
      <c r="V79" s="71"/>
      <c r="W79" s="69"/>
      <c r="X79" s="52"/>
      <c r="Y79" s="62"/>
      <c r="Z79" s="69"/>
      <c r="AA79" s="67"/>
      <c r="AB79" s="69"/>
      <c r="AC79" s="62"/>
      <c r="AD79" s="69"/>
      <c r="AE79" s="67"/>
      <c r="AF79" s="69"/>
      <c r="AG79" s="62"/>
      <c r="AH79" s="69"/>
      <c r="AI79" s="67"/>
      <c r="AJ79" s="69"/>
      <c r="AK79" s="62"/>
      <c r="AL79" s="69"/>
      <c r="AM79" s="67"/>
      <c r="AN79" s="69"/>
      <c r="AO79" s="62"/>
      <c r="AP79" s="69"/>
      <c r="AQ79" s="67"/>
      <c r="AR79" s="67"/>
      <c r="AS79" s="62"/>
      <c r="AT79" s="69"/>
      <c r="AU79" s="67"/>
    </row>
    <row r="80" spans="1:47" ht="15" customHeight="1">
      <c r="A80" s="52" t="s">
        <v>52</v>
      </c>
      <c r="B80" s="84">
        <f>B28+B32+B36+B40+B44+B48+B52+B56+B60+B62+B66+B70+B74+B81</f>
        <v>796370.6699999999</v>
      </c>
      <c r="C80" s="71"/>
      <c r="D80" s="84">
        <f>D28+D32+D36+D40+D56+D60+D62+D66+D70+D74+D78</f>
        <v>1390641.27</v>
      </c>
      <c r="E80" s="71"/>
      <c r="F80" s="88">
        <f>F28+F32+F36+F40+F44+F48+F52+F56+F60+F62+F66+F70+F74+F78</f>
        <v>2889125.2800000003</v>
      </c>
      <c r="G80" s="64"/>
      <c r="H80" s="84">
        <f>H28+H32+H36+H40+H56+H60+H62+H66+H70+H74+H78</f>
        <v>2134579.39</v>
      </c>
      <c r="I80" s="71"/>
      <c r="J80" s="88">
        <f>J28+J32+J36+J40+J44+J48+J52+J56+J60+J62+J66+J70+J74+J78</f>
        <v>6272261.800000001</v>
      </c>
      <c r="K80" s="64"/>
      <c r="L80" s="84">
        <f>L28+L32+L36+L40+L56+L60+L62+L66+L70+L74+L78</f>
        <v>1597322.8</v>
      </c>
      <c r="M80" s="71"/>
      <c r="N80" s="88">
        <f>N28+N32+N36+N40+N56+N60+N62+N66+N70+N74+N78+N52+N48+N44</f>
        <v>8890022.37</v>
      </c>
      <c r="O80" s="71"/>
      <c r="P80" s="84">
        <f>P28+P32+P36+P40+P56+P60+P62+P66+P70+P74+P78</f>
        <v>2671971.3099999996</v>
      </c>
      <c r="Q80" s="71"/>
      <c r="R80" s="88">
        <f>R28+R32+R36+R40+R44+R48+R52+R56+R60+R62+R66+R70+R74</f>
        <v>13163751.02</v>
      </c>
      <c r="S80" s="71"/>
      <c r="T80" s="84">
        <f>T28+T32+T36+T40+T56+T60+T62+T66+T70+T74+T78</f>
        <v>2046668.27</v>
      </c>
      <c r="U80" s="71"/>
      <c r="V80" s="85">
        <f>V28+V32+V36+V40+V44+V48+V52+V56+V60+V62+V66+V70+V74</f>
        <v>16520321.820000002</v>
      </c>
      <c r="W80" s="71"/>
      <c r="X80" s="52" t="s">
        <v>52</v>
      </c>
      <c r="Y80" s="84">
        <f>Y28+Y32+Y36+Y40+Y56+Y60+Y62+Y66+Y70+Y74+Y78</f>
        <v>2571007.08</v>
      </c>
      <c r="Z80" s="71"/>
      <c r="AA80" s="85">
        <f>AA28+AA32+AA36+AA40+AA44+AA48+AA52+AA56+AA60+AA62+AA66+AA70+AA74</f>
        <v>20843433.680000003</v>
      </c>
      <c r="AB80" s="71"/>
      <c r="AC80" s="84">
        <f>AC74+AC70+AC66+AC62+AC60+AC56+AC52+AC48+AC44+AC40+AC36+AC32+AC28</f>
        <v>3088570.0400000005</v>
      </c>
      <c r="AD80" s="71"/>
      <c r="AE80" s="88">
        <f>AE28+AE32+AE36+AE40+AE56+AE60+AE62+AE66+AE70+AE74+AE78+AE52+AE48+AE44</f>
        <v>23932003.72</v>
      </c>
      <c r="AF80" s="71"/>
      <c r="AG80" s="88">
        <f>AG28+AG32+AG36+AG40+AG56+AG60+AG62+AG66+AG70+AG74+AG78+AG52+AG48+AG44</f>
        <v>3933933.420000001</v>
      </c>
      <c r="AH80" s="71"/>
      <c r="AI80" s="88">
        <f>AI28+AI32+AI36+AI40+AI56+AI60+AI62+AI66+AI70+AI74+AI78+AI52+AI48+AI44</f>
        <v>27865937.14</v>
      </c>
      <c r="AJ80" s="71"/>
      <c r="AK80" s="88">
        <f>AK28+AK32+AK36+AK40+AK56+AK60+AK62+AK66+AK70+AK74+AK78+AK52+AK48+AK44</f>
        <v>5192434.3999999985</v>
      </c>
      <c r="AL80" s="71"/>
      <c r="AM80" s="88">
        <f>AM28+AM32+AM36+AM40+AM56+AM60+AM62+AM66+AM70+AM74+AM78+AM52+AM48+AM44</f>
        <v>33058371.539999995</v>
      </c>
      <c r="AN80" s="71"/>
      <c r="AO80" s="84">
        <f>AO28+AO32+AO36+AO40+AO56+AO60+AO62+AO66+AO70+AO74+AO78+AO52+AO48+AO44</f>
        <v>3918226.938</v>
      </c>
      <c r="AP80" s="71"/>
      <c r="AQ80" s="88">
        <f>AQ28+AQ32+AQ36+AQ40+AQ56+AQ60+AQ62+AQ66+AQ70+AQ74+AQ78+AQ52+AQ48+AQ44</f>
        <v>36976598.47799999</v>
      </c>
      <c r="AR80" s="64"/>
      <c r="AS80" s="84">
        <f>AS28+AS32+AS36+AS40+AS56+AS60+AS52++AS48+AS44+AS62+AS66+AS70+AS74+AS78</f>
        <v>5195994.431999998</v>
      </c>
      <c r="AT80" s="71"/>
      <c r="AU80" s="88">
        <f>AU28+AU32+AU36+AU40+AU56+AU60+AU62+AU66+AU70+AU74+AU78+AU52+AU48+AU44</f>
        <v>42172592.910000004</v>
      </c>
    </row>
    <row r="81" spans="2:256" s="49" customFormat="1" ht="12" customHeight="1">
      <c r="B81" s="58"/>
      <c r="C81" s="73"/>
      <c r="D81" s="58"/>
      <c r="E81" s="73"/>
      <c r="F81" s="59"/>
      <c r="G81" s="59"/>
      <c r="H81" s="58"/>
      <c r="I81" s="73"/>
      <c r="J81" s="59"/>
      <c r="K81" s="59"/>
      <c r="L81" s="89"/>
      <c r="M81" s="73"/>
      <c r="N81" s="59"/>
      <c r="O81" s="73"/>
      <c r="P81" s="89"/>
      <c r="Q81" s="73"/>
      <c r="R81" s="59"/>
      <c r="S81" s="73"/>
      <c r="T81" s="89"/>
      <c r="U81" s="73"/>
      <c r="V81" s="59"/>
      <c r="W81" s="73"/>
      <c r="Y81" s="89"/>
      <c r="Z81" s="73"/>
      <c r="AA81" s="59"/>
      <c r="AB81" s="73"/>
      <c r="AC81" s="89"/>
      <c r="AD81" s="73"/>
      <c r="AE81" s="59"/>
      <c r="AF81" s="73"/>
      <c r="AG81" s="89"/>
      <c r="AH81" s="73"/>
      <c r="AI81" s="59"/>
      <c r="AJ81" s="73"/>
      <c r="AK81" s="89"/>
      <c r="AL81" s="73"/>
      <c r="AM81" s="59"/>
      <c r="AN81" s="73"/>
      <c r="AO81" s="89"/>
      <c r="AP81" s="73"/>
      <c r="AQ81" s="59"/>
      <c r="AR81" s="59"/>
      <c r="AS81" s="89"/>
      <c r="AT81" s="73"/>
      <c r="AU81" s="59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  <c r="IT81" s="48"/>
      <c r="IU81" s="48"/>
      <c r="IV81" s="48"/>
    </row>
    <row r="82" spans="1:256" s="49" customFormat="1" ht="15" customHeight="1" thickBot="1">
      <c r="A82" s="52" t="s">
        <v>68</v>
      </c>
      <c r="B82" s="86">
        <f>B24-B80</f>
        <v>-100791.54999999993</v>
      </c>
      <c r="C82" s="73"/>
      <c r="D82" s="86">
        <f>D24-D80</f>
        <v>3304605.9899999998</v>
      </c>
      <c r="E82" s="73"/>
      <c r="F82" s="87">
        <f>F24-F80</f>
        <v>2501701.0999999996</v>
      </c>
      <c r="G82" s="59"/>
      <c r="H82" s="86">
        <f>H24-H80</f>
        <v>12469426.589999998</v>
      </c>
      <c r="I82" s="73"/>
      <c r="J82" s="87">
        <f>J24-J80</f>
        <v>13722570.559999999</v>
      </c>
      <c r="K82" s="59"/>
      <c r="L82" s="86">
        <f>L24-L80</f>
        <v>-1038737.1000000001</v>
      </c>
      <c r="M82" s="73"/>
      <c r="N82" s="87">
        <f>N24-N80</f>
        <v>12009981.910000002</v>
      </c>
      <c r="O82" s="73"/>
      <c r="P82" s="86">
        <f>P24-P80</f>
        <v>-2116807.6299999994</v>
      </c>
      <c r="Q82" s="73"/>
      <c r="R82" s="87">
        <f>R24-R80</f>
        <v>8553626.48</v>
      </c>
      <c r="S82" s="73"/>
      <c r="T82" s="86">
        <f>T24-T80</f>
        <v>-1352193.4300000002</v>
      </c>
      <c r="U82" s="73"/>
      <c r="V82" s="87">
        <f>V24-V80</f>
        <v>5864726.42</v>
      </c>
      <c r="W82" s="73"/>
      <c r="X82" s="52" t="s">
        <v>68</v>
      </c>
      <c r="Y82" s="86">
        <f>Y24-Y80</f>
        <v>3545247.339999997</v>
      </c>
      <c r="Z82" s="73"/>
      <c r="AA82" s="87">
        <f>AA24-AA80</f>
        <v>7657868.979999997</v>
      </c>
      <c r="AB82" s="73"/>
      <c r="AC82" s="86">
        <f>AC24-AC80</f>
        <v>10253100.109999996</v>
      </c>
      <c r="AD82" s="73"/>
      <c r="AE82" s="87">
        <f>AE24-AE80</f>
        <v>17910969.089999996</v>
      </c>
      <c r="AF82" s="73"/>
      <c r="AG82" s="86">
        <f>AG24-AG80</f>
        <v>-2834984.4499999983</v>
      </c>
      <c r="AH82" s="73"/>
      <c r="AI82" s="87">
        <f>AI24-AI80</f>
        <v>15075984.639999993</v>
      </c>
      <c r="AJ82" s="73"/>
      <c r="AK82" s="86">
        <f>AK24-AK80</f>
        <v>-2905721.0200000014</v>
      </c>
      <c r="AL82" s="73"/>
      <c r="AM82" s="87">
        <f>AM24-AM80</f>
        <v>12170263.620000001</v>
      </c>
      <c r="AN82" s="73"/>
      <c r="AO82" s="86">
        <f>AO24-AO80</f>
        <v>-3618659.9580000006</v>
      </c>
      <c r="AP82" s="73"/>
      <c r="AQ82" s="87">
        <f>AQ24-AQ80</f>
        <v>8551603.662</v>
      </c>
      <c r="AR82" s="59"/>
      <c r="AS82" s="86">
        <f>AS24-AS80</f>
        <v>-3665134.9919999996</v>
      </c>
      <c r="AT82" s="73"/>
      <c r="AU82" s="87">
        <f>AU24-AU80</f>
        <v>4886468.669999994</v>
      </c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  <c r="IN82" s="48"/>
      <c r="IO82" s="48"/>
      <c r="IP82" s="48"/>
      <c r="IQ82" s="48"/>
      <c r="IR82" s="48"/>
      <c r="IS82" s="48"/>
      <c r="IT82" s="48"/>
      <c r="IU82" s="48"/>
      <c r="IV82" s="48"/>
    </row>
    <row r="83" ht="12" customHeight="1" thickTop="1"/>
    <row r="85" ht="15">
      <c r="A85" s="93"/>
    </row>
    <row r="86" spans="18:24" ht="15">
      <c r="R86" s="93"/>
      <c r="X86" s="93"/>
    </row>
    <row r="87" ht="15">
      <c r="X87" s="93"/>
    </row>
  </sheetData>
  <sheetProtection/>
  <mergeCells count="11">
    <mergeCell ref="D1:F1"/>
    <mergeCell ref="H1:J1"/>
    <mergeCell ref="L1:N1"/>
    <mergeCell ref="P1:R1"/>
    <mergeCell ref="T1:V1"/>
    <mergeCell ref="AC1:AE1"/>
    <mergeCell ref="AG1:AI1"/>
    <mergeCell ref="AK1:AM1"/>
    <mergeCell ref="AO1:AQ1"/>
    <mergeCell ref="AS1:AU1"/>
    <mergeCell ref="Y1:AA1"/>
  </mergeCells>
  <printOptions horizontalCentered="1" verticalCentered="1"/>
  <pageMargins left="0.45" right="0.7" top="0.5" bottom="0.5" header="0.3" footer="0.3"/>
  <pageSetup fitToWidth="2" horizontalDpi="600" verticalDpi="600" orientation="landscape" paperSize="126" scale="60" r:id="rId3"/>
  <headerFooter>
    <oddHeader>&amp;CProfit and Losses FY 2011</oddHeader>
  </headerFooter>
  <colBreaks count="1" manualBreakCount="1">
    <brk id="2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="145" zoomScaleNormal="145" zoomScalePageLayoutView="0" workbookViewId="0" topLeftCell="A1">
      <selection activeCell="C5" sqref="C5"/>
    </sheetView>
  </sheetViews>
  <sheetFormatPr defaultColWidth="12.421875" defaultRowHeight="15"/>
  <cols>
    <col min="1" max="1" width="26.7109375" style="5" customWidth="1"/>
    <col min="2" max="3" width="13.7109375" style="5" customWidth="1"/>
    <col min="4" max="6" width="20.7109375" style="5" customWidth="1"/>
    <col min="7" max="7" width="14.28125" style="5" customWidth="1"/>
    <col min="8" max="8" width="14.421875" style="5" customWidth="1"/>
    <col min="9" max="10" width="15.28125" style="5" customWidth="1"/>
    <col min="11" max="11" width="13.57421875" style="5" customWidth="1"/>
    <col min="12" max="12" width="15.28125" style="5" customWidth="1"/>
    <col min="13" max="13" width="15.421875" style="5" customWidth="1"/>
    <col min="14" max="14" width="8.00390625" style="5" customWidth="1"/>
    <col min="15" max="15" width="18.57421875" style="5" customWidth="1"/>
    <col min="16" max="16" width="13.7109375" style="5" customWidth="1"/>
    <col min="17" max="18" width="12.421875" style="5" customWidth="1"/>
    <col min="19" max="19" width="11.57421875" style="5" customWidth="1"/>
    <col min="20" max="16384" width="12.421875" style="5" customWidth="1"/>
  </cols>
  <sheetData>
    <row r="1" spans="1:11" ht="40.5" customHeight="1">
      <c r="A1" s="97" t="s">
        <v>0</v>
      </c>
      <c r="B1" s="102" t="s">
        <v>88</v>
      </c>
      <c r="C1" s="102" t="s">
        <v>96</v>
      </c>
      <c r="D1" s="19">
        <v>41275</v>
      </c>
      <c r="E1" s="19">
        <v>41640</v>
      </c>
      <c r="F1" s="99" t="s">
        <v>28</v>
      </c>
      <c r="G1" s="101" t="s">
        <v>29</v>
      </c>
      <c r="H1" s="6"/>
      <c r="I1" s="6"/>
      <c r="J1" s="6"/>
      <c r="K1" s="6"/>
    </row>
    <row r="2" spans="1:11" ht="15" customHeight="1">
      <c r="A2" s="97"/>
      <c r="B2" s="97"/>
      <c r="C2" s="97"/>
      <c r="D2" s="99" t="s">
        <v>26</v>
      </c>
      <c r="E2" s="99" t="s">
        <v>26</v>
      </c>
      <c r="F2" s="99"/>
      <c r="G2" s="101"/>
      <c r="H2" s="11"/>
      <c r="I2" s="11"/>
      <c r="J2" s="6"/>
      <c r="K2" s="11"/>
    </row>
    <row r="3" spans="1:11" ht="15" customHeight="1">
      <c r="A3" s="97"/>
      <c r="B3" s="95"/>
      <c r="C3" s="95"/>
      <c r="D3" s="99"/>
      <c r="E3" s="99"/>
      <c r="F3" s="99"/>
      <c r="G3" s="101"/>
      <c r="H3" s="11"/>
      <c r="I3" s="11"/>
      <c r="J3" s="11"/>
      <c r="K3" s="11"/>
    </row>
    <row r="4" spans="1:11" ht="15" customHeight="1">
      <c r="A4" s="20" t="s">
        <v>30</v>
      </c>
      <c r="B4" s="34">
        <v>45307302</v>
      </c>
      <c r="C4" s="34">
        <f>46431677+300000</f>
        <v>46731677</v>
      </c>
      <c r="D4" s="35">
        <f>'2013 PROFIT &amp; LOSSES'!B5</f>
        <v>247788.7</v>
      </c>
      <c r="E4" s="35">
        <f>'2014 PROFIT &amp; LOSSES'!B5</f>
        <v>115058.22</v>
      </c>
      <c r="F4" s="35">
        <f>E4-D4</f>
        <v>-132730.48</v>
      </c>
      <c r="G4" s="42">
        <f>E4/C4</f>
        <v>0.002462103382251829</v>
      </c>
      <c r="H4" s="12"/>
      <c r="I4" s="12"/>
      <c r="J4" s="8"/>
      <c r="K4" s="12"/>
    </row>
    <row r="5" spans="1:11" ht="15" customHeight="1">
      <c r="A5" s="20" t="s">
        <v>31</v>
      </c>
      <c r="B5" s="34">
        <v>834100</v>
      </c>
      <c r="C5" s="34">
        <v>2992351</v>
      </c>
      <c r="D5" s="35">
        <f>'2013 PROFIT &amp; LOSSES'!B8</f>
        <v>144999.6</v>
      </c>
      <c r="E5" s="35">
        <f>'2014 PROFIT &amp; LOSSES'!B8</f>
        <v>486324.3</v>
      </c>
      <c r="F5" s="35">
        <f aca="true" t="shared" si="0" ref="F5:F19">E5-D5</f>
        <v>341324.69999999995</v>
      </c>
      <c r="G5" s="42">
        <f aca="true" t="shared" si="1" ref="G5:G19">E5/C5</f>
        <v>0.16252247814511064</v>
      </c>
      <c r="H5" s="12"/>
      <c r="I5" s="32"/>
      <c r="J5" s="32"/>
      <c r="K5" s="12"/>
    </row>
    <row r="6" spans="1:11" ht="15" customHeight="1">
      <c r="A6" s="20" t="s">
        <v>1</v>
      </c>
      <c r="B6" s="34">
        <v>990000</v>
      </c>
      <c r="C6" s="34">
        <v>990000</v>
      </c>
      <c r="D6" s="35">
        <f>'2013 PROFIT &amp; LOSSES'!B11</f>
        <v>9192.16</v>
      </c>
      <c r="E6" s="35">
        <f>'2014 PROFIT &amp; LOSSES'!B11</f>
        <v>8583.11</v>
      </c>
      <c r="F6" s="35">
        <f t="shared" si="0"/>
        <v>-609.0499999999993</v>
      </c>
      <c r="G6" s="42">
        <f t="shared" si="1"/>
        <v>0.008669808080808082</v>
      </c>
      <c r="H6" s="12"/>
      <c r="I6" s="31"/>
      <c r="J6" s="31"/>
      <c r="K6" s="12"/>
    </row>
    <row r="7" spans="1:11" ht="15" customHeight="1">
      <c r="A7" s="20" t="s">
        <v>2</v>
      </c>
      <c r="B7" s="34">
        <v>200000</v>
      </c>
      <c r="C7" s="34">
        <v>220000</v>
      </c>
      <c r="D7" s="35">
        <f>'2013 PROFIT &amp; LOSSES'!B14</f>
        <v>10061.9</v>
      </c>
      <c r="E7" s="35">
        <f>'2014 PROFIT &amp; LOSSES'!B14</f>
        <v>10049.23</v>
      </c>
      <c r="F7" s="35">
        <f>E7-D7</f>
        <v>-12.670000000000073</v>
      </c>
      <c r="G7" s="42">
        <f t="shared" si="1"/>
        <v>0.04567831818181818</v>
      </c>
      <c r="H7" s="12"/>
      <c r="I7" s="12"/>
      <c r="J7" s="8"/>
      <c r="K7" s="12"/>
    </row>
    <row r="8" spans="1:11" ht="15" customHeight="1">
      <c r="A8" s="20" t="s">
        <v>3</v>
      </c>
      <c r="B8" s="34">
        <v>1400000</v>
      </c>
      <c r="C8" s="34">
        <f>570000+108800</f>
        <v>678800</v>
      </c>
      <c r="D8" s="35">
        <f>'2013 PROFIT &amp; LOSSES'!B16</f>
        <v>0</v>
      </c>
      <c r="E8" s="35">
        <f>'2014 PROFIT &amp; LOSSES'!B16</f>
        <v>238228.23</v>
      </c>
      <c r="F8" s="35">
        <f>E8-D8</f>
        <v>238228.23</v>
      </c>
      <c r="G8" s="42">
        <f t="shared" si="1"/>
        <v>0.3509549646434885</v>
      </c>
      <c r="H8" s="12"/>
      <c r="I8" s="12"/>
      <c r="J8" s="8"/>
      <c r="K8" s="12"/>
    </row>
    <row r="9" spans="1:11" ht="15" customHeight="1">
      <c r="A9" s="20" t="s">
        <v>101</v>
      </c>
      <c r="B9" s="34">
        <v>250000</v>
      </c>
      <c r="C9" s="34">
        <v>257500</v>
      </c>
      <c r="D9" s="35">
        <f>'2013 PROFIT &amp; LOSSES'!B15</f>
        <v>17702.24</v>
      </c>
      <c r="E9" s="35">
        <f>'2014 PROFIT &amp; LOSSES'!B15</f>
        <v>18123.42</v>
      </c>
      <c r="F9" s="35">
        <f t="shared" si="0"/>
        <v>421.17999999999665</v>
      </c>
      <c r="G9" s="42">
        <f t="shared" si="1"/>
        <v>0.070382213592233</v>
      </c>
      <c r="H9" s="12"/>
      <c r="I9" s="12"/>
      <c r="J9" s="8"/>
      <c r="K9" s="12"/>
    </row>
    <row r="10" spans="1:12" ht="15" customHeight="1">
      <c r="A10" s="20" t="s">
        <v>5</v>
      </c>
      <c r="B10" s="34">
        <v>15000</v>
      </c>
      <c r="C10" s="34">
        <v>15000</v>
      </c>
      <c r="D10" s="35">
        <f>'2013 PROFIT &amp; LOSSES'!B17</f>
        <v>140</v>
      </c>
      <c r="E10" s="35">
        <f>'2014 PROFIT &amp; LOSSES'!B17</f>
        <v>875</v>
      </c>
      <c r="F10" s="35">
        <f t="shared" si="0"/>
        <v>735</v>
      </c>
      <c r="G10" s="42">
        <f t="shared" si="1"/>
        <v>0.058333333333333334</v>
      </c>
      <c r="H10" s="12"/>
      <c r="I10" s="12"/>
      <c r="J10" s="8"/>
      <c r="K10" s="12"/>
      <c r="L10" s="4"/>
    </row>
    <row r="11" spans="1:11" ht="15" customHeight="1">
      <c r="A11" s="20" t="s">
        <v>6</v>
      </c>
      <c r="B11" s="34">
        <v>40000</v>
      </c>
      <c r="C11" s="34">
        <v>40000</v>
      </c>
      <c r="D11" s="35">
        <f>'2013 PROFIT &amp; LOSSES'!B19</f>
        <v>215</v>
      </c>
      <c r="E11" s="35">
        <f>'2014 PROFIT &amp; LOSSES'!B19</f>
        <v>83</v>
      </c>
      <c r="F11" s="35">
        <f t="shared" si="0"/>
        <v>-132</v>
      </c>
      <c r="G11" s="42">
        <f t="shared" si="1"/>
        <v>0.002075</v>
      </c>
      <c r="H11" s="12"/>
      <c r="I11" s="12"/>
      <c r="J11" s="8"/>
      <c r="K11" s="12"/>
    </row>
    <row r="12" spans="1:11" ht="15" customHeight="1">
      <c r="A12" s="20" t="s">
        <v>7</v>
      </c>
      <c r="B12" s="34">
        <v>100000</v>
      </c>
      <c r="C12" s="34">
        <v>350000</v>
      </c>
      <c r="D12" s="35">
        <f>'2013 PROFIT &amp; LOSSES'!B20</f>
        <v>20356.32</v>
      </c>
      <c r="E12" s="35">
        <f>'2014 PROFIT &amp; LOSSES'!B20</f>
        <v>1935.6</v>
      </c>
      <c r="F12" s="35">
        <f t="shared" si="0"/>
        <v>-18420.72</v>
      </c>
      <c r="G12" s="42">
        <f t="shared" si="1"/>
        <v>0.005530285714285714</v>
      </c>
      <c r="H12" s="12"/>
      <c r="I12" s="12"/>
      <c r="J12" s="8"/>
      <c r="K12" s="12"/>
    </row>
    <row r="13" spans="1:12" ht="15" customHeight="1">
      <c r="A13" s="20" t="s">
        <v>8</v>
      </c>
      <c r="B13" s="34">
        <v>890000</v>
      </c>
      <c r="C13" s="34">
        <v>950000</v>
      </c>
      <c r="D13" s="35">
        <f>'2013 PROFIT &amp; LOSSES'!B12</f>
        <v>187641</v>
      </c>
      <c r="E13" s="35">
        <f>'2014 PROFIT &amp; LOSSES'!B12</f>
        <v>51412.4</v>
      </c>
      <c r="F13" s="35">
        <f t="shared" si="0"/>
        <v>-136228.6</v>
      </c>
      <c r="G13" s="42">
        <f t="shared" si="1"/>
        <v>0.05411831578947369</v>
      </c>
      <c r="H13" s="12"/>
      <c r="I13" s="12"/>
      <c r="J13" s="8"/>
      <c r="K13" s="12"/>
      <c r="L13" s="4"/>
    </row>
    <row r="14" spans="1:11" ht="15" customHeight="1">
      <c r="A14" s="20" t="s">
        <v>9</v>
      </c>
      <c r="B14" s="34">
        <v>400000</v>
      </c>
      <c r="C14" s="34">
        <v>420000</v>
      </c>
      <c r="D14" s="35">
        <f>'2013 PROFIT &amp; LOSSES'!B13</f>
        <v>0</v>
      </c>
      <c r="E14" s="35">
        <f>'2014 PROFIT &amp; LOSSES'!B13</f>
        <v>-29.85</v>
      </c>
      <c r="F14" s="35">
        <f t="shared" si="0"/>
        <v>-29.85</v>
      </c>
      <c r="G14" s="42">
        <f t="shared" si="1"/>
        <v>-7.107142857142857E-05</v>
      </c>
      <c r="H14" s="12"/>
      <c r="I14" s="12"/>
      <c r="J14" s="8"/>
      <c r="K14" s="12"/>
    </row>
    <row r="15" spans="1:11" ht="15" customHeight="1">
      <c r="A15" s="20" t="s">
        <v>10</v>
      </c>
      <c r="B15" s="34">
        <v>320000</v>
      </c>
      <c r="C15" s="34">
        <v>336000</v>
      </c>
      <c r="D15" s="35">
        <f>'2013 PROFIT &amp; LOSSES'!B18</f>
        <v>55674.34</v>
      </c>
      <c r="E15" s="35">
        <f>'2014 PROFIT &amp; LOSSES'!B18</f>
        <v>56976.81</v>
      </c>
      <c r="F15" s="35">
        <f t="shared" si="0"/>
        <v>1302.4700000000012</v>
      </c>
      <c r="G15" s="42">
        <f t="shared" si="1"/>
        <v>0.1695738392857143</v>
      </c>
      <c r="H15" s="12"/>
      <c r="I15" s="12"/>
      <c r="J15" s="8"/>
      <c r="K15" s="12"/>
    </row>
    <row r="16" spans="1:11" ht="12.75">
      <c r="A16" s="20" t="s">
        <v>11</v>
      </c>
      <c r="B16" s="34">
        <v>150000</v>
      </c>
      <c r="C16" s="34">
        <v>100000</v>
      </c>
      <c r="D16" s="35">
        <f>'2013 PROFIT &amp; LOSSES'!B21</f>
        <v>1807.86</v>
      </c>
      <c r="E16" s="35">
        <f>'2014 PROFIT &amp; LOSSES'!B21</f>
        <v>1564.5</v>
      </c>
      <c r="F16" s="35">
        <f t="shared" si="0"/>
        <v>-243.3599999999999</v>
      </c>
      <c r="G16" s="42">
        <f t="shared" si="1"/>
        <v>0.015645</v>
      </c>
      <c r="H16" s="12"/>
      <c r="I16" s="12"/>
      <c r="J16" s="8"/>
      <c r="K16" s="12"/>
    </row>
    <row r="17" spans="1:11" ht="15" customHeight="1" hidden="1">
      <c r="A17" s="20" t="s">
        <v>12</v>
      </c>
      <c r="B17" s="34"/>
      <c r="C17" s="34"/>
      <c r="D17" s="35" t="e">
        <f>#REF!</f>
        <v>#REF!</v>
      </c>
      <c r="E17" s="35">
        <v>0</v>
      </c>
      <c r="F17" s="35" t="e">
        <f t="shared" si="0"/>
        <v>#REF!</v>
      </c>
      <c r="G17" s="42" t="e">
        <f t="shared" si="1"/>
        <v>#DIV/0!</v>
      </c>
      <c r="H17" s="12"/>
      <c r="I17" s="12"/>
      <c r="J17" s="8"/>
      <c r="K17" s="12"/>
    </row>
    <row r="18" spans="1:11" ht="12.75" customHeight="1" hidden="1">
      <c r="A18" s="20"/>
      <c r="B18" s="34"/>
      <c r="C18" s="34"/>
      <c r="D18" s="35" t="e">
        <f>#REF!</f>
        <v>#REF!</v>
      </c>
      <c r="E18" s="35">
        <v>0</v>
      </c>
      <c r="F18" s="35" t="e">
        <f t="shared" si="0"/>
        <v>#REF!</v>
      </c>
      <c r="G18" s="42" t="e">
        <f t="shared" si="1"/>
        <v>#DIV/0!</v>
      </c>
      <c r="H18" s="2"/>
      <c r="I18" s="2"/>
      <c r="J18" s="3"/>
      <c r="K18" s="2"/>
    </row>
    <row r="19" spans="1:11" ht="15" customHeight="1">
      <c r="A19" s="26" t="s">
        <v>13</v>
      </c>
      <c r="B19" s="36">
        <v>1945323</v>
      </c>
      <c r="C19" s="36">
        <v>3495819</v>
      </c>
      <c r="D19" s="35">
        <v>0</v>
      </c>
      <c r="E19" s="37">
        <v>0</v>
      </c>
      <c r="F19" s="37">
        <f t="shared" si="0"/>
        <v>0</v>
      </c>
      <c r="G19" s="43">
        <f t="shared" si="1"/>
        <v>0</v>
      </c>
      <c r="H19" s="12"/>
      <c r="I19" s="12"/>
      <c r="J19" s="8"/>
      <c r="K19" s="12"/>
    </row>
    <row r="20" spans="1:11" ht="15" customHeight="1">
      <c r="A20" s="27"/>
      <c r="B20" s="38"/>
      <c r="C20" s="38"/>
      <c r="D20" s="39"/>
      <c r="E20" s="39"/>
      <c r="F20" s="39"/>
      <c r="G20" s="44"/>
      <c r="H20" s="12"/>
      <c r="I20" s="12"/>
      <c r="J20" s="8"/>
      <c r="K20" s="12"/>
    </row>
    <row r="21" spans="1:14" s="10" customFormat="1" ht="18" customHeight="1">
      <c r="A21" s="18" t="s">
        <v>27</v>
      </c>
      <c r="B21" s="40">
        <f>SUM(B4:B19)</f>
        <v>52841725</v>
      </c>
      <c r="C21" s="40">
        <f>SUM(C4:C19)</f>
        <v>57577147</v>
      </c>
      <c r="D21" s="41">
        <f>D19+D16+D15+D14+D13+D12+D11+D10+D9+D8+D7+D6+D5+D4</f>
        <v>695579.1200000001</v>
      </c>
      <c r="E21" s="41">
        <f>SUM(E4:E19)</f>
        <v>989183.97</v>
      </c>
      <c r="F21" s="41">
        <f>E21-D21</f>
        <v>293604.84999999986</v>
      </c>
      <c r="G21" s="45">
        <f>E21/C21</f>
        <v>0.017180149096307256</v>
      </c>
      <c r="H21" s="12"/>
      <c r="I21" s="12"/>
      <c r="J21" s="8"/>
      <c r="K21" s="12"/>
      <c r="L21" s="8"/>
      <c r="N21" s="17"/>
    </row>
    <row r="22" spans="1:11" ht="12" customHeight="1">
      <c r="A22" s="1"/>
      <c r="B22" s="4"/>
      <c r="C22" s="4"/>
      <c r="D22" s="4"/>
      <c r="E22" s="4"/>
      <c r="F22" s="13"/>
      <c r="G22" s="13"/>
      <c r="H22" s="2"/>
      <c r="I22" s="2"/>
      <c r="J22" s="3"/>
      <c r="K22" s="2"/>
    </row>
    <row r="23" spans="1:10" ht="12" customHeight="1">
      <c r="A23" s="22"/>
      <c r="B23" s="23"/>
      <c r="C23" s="22"/>
      <c r="D23" s="92"/>
      <c r="E23" s="23"/>
      <c r="F23" s="24"/>
      <c r="G23" s="25"/>
      <c r="H23" s="14"/>
      <c r="I23" s="14"/>
      <c r="J23" s="14"/>
    </row>
    <row r="24" spans="1:9" ht="42.75" customHeight="1">
      <c r="A24" s="95" t="s">
        <v>14</v>
      </c>
      <c r="B24" s="95" t="s">
        <v>88</v>
      </c>
      <c r="C24" s="95" t="s">
        <v>96</v>
      </c>
      <c r="D24" s="19">
        <v>41275</v>
      </c>
      <c r="E24" s="19">
        <v>41640</v>
      </c>
      <c r="F24" s="98" t="s">
        <v>28</v>
      </c>
      <c r="G24" s="100" t="s">
        <v>29</v>
      </c>
      <c r="H24" s="6"/>
      <c r="I24" s="6"/>
    </row>
    <row r="25" spans="1:9" ht="15" customHeight="1">
      <c r="A25" s="96"/>
      <c r="B25" s="97"/>
      <c r="C25" s="97"/>
      <c r="D25" s="99" t="s">
        <v>26</v>
      </c>
      <c r="E25" s="99" t="s">
        <v>26</v>
      </c>
      <c r="F25" s="99"/>
      <c r="G25" s="101"/>
      <c r="H25" s="90"/>
      <c r="I25" s="11"/>
    </row>
    <row r="26" spans="1:10" ht="15" customHeight="1">
      <c r="A26" s="96"/>
      <c r="B26" s="97"/>
      <c r="C26" s="97"/>
      <c r="D26" s="98"/>
      <c r="E26" s="99"/>
      <c r="F26" s="99"/>
      <c r="G26" s="101"/>
      <c r="H26" s="11"/>
      <c r="I26" s="11"/>
      <c r="J26" s="15"/>
    </row>
    <row r="27" spans="1:10" ht="15" customHeight="1">
      <c r="A27" s="20" t="s">
        <v>15</v>
      </c>
      <c r="B27" s="34">
        <v>1884258</v>
      </c>
      <c r="C27" s="34">
        <v>1885026</v>
      </c>
      <c r="D27" s="35">
        <f>'2013 PROFIT &amp; LOSSES'!B28</f>
        <v>36444.65</v>
      </c>
      <c r="E27" s="35">
        <f>'2014 PROFIT &amp; LOSSES'!B28</f>
        <v>88217.47</v>
      </c>
      <c r="F27" s="35">
        <f aca="true" t="shared" si="2" ref="F27:F40">E27-D27</f>
        <v>51772.82</v>
      </c>
      <c r="G27" s="21">
        <f>E27/C27</f>
        <v>0.04679907332843154</v>
      </c>
      <c r="H27" s="8"/>
      <c r="I27" s="12"/>
      <c r="J27" s="15"/>
    </row>
    <row r="28" spans="1:10" ht="15" customHeight="1">
      <c r="A28" s="20" t="s">
        <v>16</v>
      </c>
      <c r="B28" s="34">
        <v>2054581</v>
      </c>
      <c r="C28" s="34">
        <v>1894484</v>
      </c>
      <c r="D28" s="35">
        <f>'2013 PROFIT &amp; LOSSES'!B32</f>
        <v>36612.76</v>
      </c>
      <c r="E28" s="35">
        <f>'2014 PROFIT &amp; LOSSES'!B32</f>
        <v>164748.13</v>
      </c>
      <c r="F28" s="35">
        <f>E28-D28</f>
        <v>128135.37</v>
      </c>
      <c r="G28" s="21">
        <f aca="true" t="shared" si="3" ref="G28:G40">E28/C28</f>
        <v>0.0869620065410951</v>
      </c>
      <c r="H28" s="8"/>
      <c r="I28" s="9"/>
      <c r="J28" s="15"/>
    </row>
    <row r="29" spans="1:10" ht="15" customHeight="1">
      <c r="A29" s="20" t="s">
        <v>87</v>
      </c>
      <c r="B29" s="34">
        <v>585246</v>
      </c>
      <c r="C29" s="34">
        <v>562261</v>
      </c>
      <c r="D29" s="35">
        <f>'2013 PROFIT &amp; LOSSES'!B36</f>
        <v>12068.6</v>
      </c>
      <c r="E29" s="35">
        <f>'2014 PROFIT &amp; LOSSES'!B36</f>
        <v>14875.34</v>
      </c>
      <c r="F29" s="35">
        <f t="shared" si="2"/>
        <v>2806.74</v>
      </c>
      <c r="G29" s="21">
        <f t="shared" si="3"/>
        <v>0.026456289872496937</v>
      </c>
      <c r="H29" s="8"/>
      <c r="I29" s="9"/>
      <c r="J29" s="15"/>
    </row>
    <row r="30" spans="1:10" ht="15" customHeight="1">
      <c r="A30" s="20" t="s">
        <v>17</v>
      </c>
      <c r="B30" s="34">
        <v>7653505</v>
      </c>
      <c r="C30" s="34">
        <v>4245885</v>
      </c>
      <c r="D30" s="35">
        <f>'2013 PROFIT &amp; LOSSES'!B40</f>
        <v>167059.18</v>
      </c>
      <c r="E30" s="35">
        <f>'2014 PROFIT &amp; LOSSES'!B40</f>
        <v>252970.95</v>
      </c>
      <c r="F30" s="35">
        <f>E30-D30</f>
        <v>85911.77000000002</v>
      </c>
      <c r="G30" s="21">
        <f t="shared" si="3"/>
        <v>0.059580264185205206</v>
      </c>
      <c r="H30" s="8"/>
      <c r="I30" s="9"/>
      <c r="J30" s="15"/>
    </row>
    <row r="31" spans="1:10" ht="15" customHeight="1">
      <c r="A31" s="20" t="s">
        <v>97</v>
      </c>
      <c r="B31" s="34">
        <v>0</v>
      </c>
      <c r="C31" s="34">
        <v>4482385</v>
      </c>
      <c r="D31" s="35">
        <v>0</v>
      </c>
      <c r="E31" s="35">
        <f>'2014 PROFIT &amp; LOSSES'!B44</f>
        <v>2777.01</v>
      </c>
      <c r="F31" s="35">
        <f>E31-D31</f>
        <v>2777.01</v>
      </c>
      <c r="G31" s="21"/>
      <c r="H31" s="8"/>
      <c r="I31" s="9"/>
      <c r="J31" s="15"/>
    </row>
    <row r="32" spans="1:10" ht="15" customHeight="1">
      <c r="A32" s="20" t="s">
        <v>93</v>
      </c>
      <c r="B32" s="34">
        <v>10504913</v>
      </c>
      <c r="C32" s="34">
        <v>9956507</v>
      </c>
      <c r="D32" s="35">
        <f>'2013 PROFIT &amp; LOSSES'!B48</f>
        <v>122305.68000000001</v>
      </c>
      <c r="E32" s="35">
        <f>'2014 PROFIT &amp; LOSSES'!B52</f>
        <v>460871.3</v>
      </c>
      <c r="F32" s="35">
        <f>E32-D32</f>
        <v>338565.62</v>
      </c>
      <c r="G32" s="21">
        <f>E32/C32</f>
        <v>0.0462884523658749</v>
      </c>
      <c r="H32" s="8"/>
      <c r="I32" s="9"/>
      <c r="J32" s="15"/>
    </row>
    <row r="33" spans="1:10" ht="15" customHeight="1">
      <c r="A33" s="20" t="s">
        <v>94</v>
      </c>
      <c r="B33" s="34">
        <v>9203145</v>
      </c>
      <c r="C33" s="34">
        <v>9107556</v>
      </c>
      <c r="D33" s="35">
        <f>'2013 PROFIT &amp; LOSSES'!B52</f>
        <v>126606.23</v>
      </c>
      <c r="E33" s="35">
        <f>'2014 PROFIT &amp; LOSSES'!B56+'2014 PROFIT &amp; LOSSES'!B60</f>
        <v>206419.94</v>
      </c>
      <c r="F33" s="35">
        <f>E33-D33</f>
        <v>79813.71</v>
      </c>
      <c r="G33" s="21">
        <f>E33/C33</f>
        <v>0.022664690724932133</v>
      </c>
      <c r="H33" s="8"/>
      <c r="I33" s="9"/>
      <c r="J33" s="15"/>
    </row>
    <row r="34" spans="1:10" ht="15" customHeight="1">
      <c r="A34" s="20" t="s">
        <v>19</v>
      </c>
      <c r="B34" s="34">
        <v>250000</v>
      </c>
      <c r="C34" s="34">
        <v>257500</v>
      </c>
      <c r="D34" s="35">
        <f>'2013 PROFIT &amp; LOSSES'!B60</f>
        <v>0</v>
      </c>
      <c r="E34" s="35">
        <f>'2014 PROFIT &amp; LOSSES'!B64</f>
        <v>0</v>
      </c>
      <c r="F34" s="35">
        <f t="shared" si="2"/>
        <v>0</v>
      </c>
      <c r="G34" s="21">
        <f t="shared" si="3"/>
        <v>0</v>
      </c>
      <c r="H34" s="8"/>
      <c r="I34" s="9"/>
      <c r="J34" s="15"/>
    </row>
    <row r="35" spans="1:10" ht="15" customHeight="1">
      <c r="A35" s="20" t="s">
        <v>102</v>
      </c>
      <c r="B35" s="34">
        <v>3046935</v>
      </c>
      <c r="C35" s="34">
        <v>1739578</v>
      </c>
      <c r="D35" s="35">
        <f>'2013 PROFIT &amp; LOSSES'!B44</f>
        <v>22375.510000000002</v>
      </c>
      <c r="E35" s="35">
        <f>'2014 PROFIT &amp; LOSSES'!B48</f>
        <v>80548.83</v>
      </c>
      <c r="F35" s="35">
        <f t="shared" si="2"/>
        <v>58173.32</v>
      </c>
      <c r="G35" s="21">
        <f t="shared" si="3"/>
        <v>0.04630366100284092</v>
      </c>
      <c r="H35" s="8"/>
      <c r="I35" s="9"/>
      <c r="J35" s="15"/>
    </row>
    <row r="36" spans="1:10" ht="15" customHeight="1">
      <c r="A36" s="20" t="s">
        <v>20</v>
      </c>
      <c r="B36" s="34">
        <v>9514640</v>
      </c>
      <c r="C36" s="34">
        <v>9250533</v>
      </c>
      <c r="D36" s="35">
        <f>'2013 PROFIT &amp; LOSSES'!B62</f>
        <v>194768.59</v>
      </c>
      <c r="E36" s="35">
        <f>'2014 PROFIT &amp; LOSSES'!B66</f>
        <v>442142.53</v>
      </c>
      <c r="F36" s="35">
        <f t="shared" si="2"/>
        <v>247373.94000000003</v>
      </c>
      <c r="G36" s="21">
        <f t="shared" si="3"/>
        <v>0.04779643832414846</v>
      </c>
      <c r="H36" s="8"/>
      <c r="I36" s="9"/>
      <c r="J36" s="15"/>
    </row>
    <row r="37" spans="1:10" ht="15" customHeight="1">
      <c r="A37" s="20" t="s">
        <v>21</v>
      </c>
      <c r="B37" s="34">
        <v>1365971</v>
      </c>
      <c r="C37" s="34">
        <v>1302257</v>
      </c>
      <c r="D37" s="35">
        <f>'2013 PROFIT &amp; LOSSES'!B66</f>
        <v>30507.210000000003</v>
      </c>
      <c r="E37" s="35">
        <f>'2014 PROFIT &amp; LOSSES'!B70</f>
        <v>52525.91</v>
      </c>
      <c r="F37" s="35">
        <f t="shared" si="2"/>
        <v>22018.7</v>
      </c>
      <c r="G37" s="21">
        <f t="shared" si="3"/>
        <v>0.04033451922316409</v>
      </c>
      <c r="H37" s="8"/>
      <c r="I37" s="9"/>
      <c r="J37" s="15"/>
    </row>
    <row r="38" spans="1:10" ht="15" customHeight="1">
      <c r="A38" s="20" t="s">
        <v>22</v>
      </c>
      <c r="B38" s="34">
        <v>1813531</v>
      </c>
      <c r="C38" s="34">
        <v>1805991</v>
      </c>
      <c r="D38" s="35">
        <f>'2013 PROFIT &amp; LOSSES'!B70</f>
        <v>43868.26</v>
      </c>
      <c r="E38" s="35">
        <f>'2014 PROFIT &amp; LOSSES'!B74</f>
        <v>69788.18</v>
      </c>
      <c r="F38" s="35">
        <f t="shared" si="2"/>
        <v>25919.91999999999</v>
      </c>
      <c r="G38" s="21">
        <f t="shared" si="3"/>
        <v>0.038642595671849966</v>
      </c>
      <c r="H38" s="8"/>
      <c r="I38" s="9"/>
      <c r="J38" s="16"/>
    </row>
    <row r="39" spans="1:10" ht="15" customHeight="1">
      <c r="A39" s="20" t="s">
        <v>23</v>
      </c>
      <c r="B39" s="34">
        <v>3415000</v>
      </c>
      <c r="C39" s="34">
        <v>4537184</v>
      </c>
      <c r="D39" s="35">
        <f>'2013 PROFIT &amp; LOSSES'!B74</f>
        <v>3754</v>
      </c>
      <c r="E39" s="35">
        <f>'2014 PROFIT &amp; LOSSES'!B78</f>
        <v>349825.55</v>
      </c>
      <c r="F39" s="35">
        <f t="shared" si="2"/>
        <v>346071.55</v>
      </c>
      <c r="G39" s="21">
        <f t="shared" si="3"/>
        <v>0.07710190946631214</v>
      </c>
      <c r="H39" s="8"/>
      <c r="I39" s="9"/>
      <c r="J39" s="16"/>
    </row>
    <row r="40" spans="1:9" ht="15" customHeight="1">
      <c r="A40" s="26" t="s">
        <v>24</v>
      </c>
      <c r="B40" s="36">
        <v>1550000</v>
      </c>
      <c r="C40" s="36">
        <f>550000+6000000</f>
        <v>6550000</v>
      </c>
      <c r="D40" s="37">
        <v>0</v>
      </c>
      <c r="E40" s="35">
        <v>0</v>
      </c>
      <c r="F40" s="35">
        <f t="shared" si="2"/>
        <v>0</v>
      </c>
      <c r="G40" s="28">
        <f t="shared" si="3"/>
        <v>0</v>
      </c>
      <c r="H40" s="3"/>
      <c r="I40" s="7"/>
    </row>
    <row r="41" spans="1:9" ht="15" customHeight="1">
      <c r="A41" s="27"/>
      <c r="B41" s="38"/>
      <c r="C41" s="38"/>
      <c r="D41" s="39"/>
      <c r="E41" s="39"/>
      <c r="F41" s="39"/>
      <c r="G41" s="30"/>
      <c r="H41" s="3"/>
      <c r="I41" s="7"/>
    </row>
    <row r="42" spans="1:10" s="10" customFormat="1" ht="18" customHeight="1">
      <c r="A42" s="18" t="s">
        <v>27</v>
      </c>
      <c r="B42" s="40">
        <f>SUM(B27:B40)</f>
        <v>52841725</v>
      </c>
      <c r="C42" s="40">
        <f>SUM(C27:C40)</f>
        <v>57577147</v>
      </c>
      <c r="D42" s="41">
        <f>SUM(D27:D40)</f>
        <v>796370.6699999999</v>
      </c>
      <c r="E42" s="41">
        <f>SUM(E27:E40)</f>
        <v>2185711.1399999997</v>
      </c>
      <c r="F42" s="41">
        <f>SUM(F27:F40)</f>
        <v>1389340.47</v>
      </c>
      <c r="G42" s="29">
        <f>E42/C42</f>
        <v>0.037961435289595016</v>
      </c>
      <c r="J42" s="16"/>
    </row>
    <row r="43" spans="2:6" ht="12.75">
      <c r="B43" s="46"/>
      <c r="C43" s="46"/>
      <c r="D43" s="46"/>
      <c r="E43" s="46"/>
      <c r="F43" s="46"/>
    </row>
    <row r="44" spans="2:6" ht="12.75">
      <c r="B44" s="46"/>
      <c r="C44" s="46"/>
      <c r="D44" s="46"/>
      <c r="E44" s="46">
        <f>#REF!</f>
        <v>0</v>
      </c>
      <c r="F44" s="46"/>
    </row>
    <row r="45" spans="2:6" ht="12.75">
      <c r="B45" s="46"/>
      <c r="C45" s="46"/>
      <c r="D45" s="46"/>
      <c r="E45" s="46"/>
      <c r="F45" s="46"/>
    </row>
    <row r="46" spans="2:6" ht="12.75">
      <c r="B46" s="46"/>
      <c r="C46" s="46"/>
      <c r="D46" s="46"/>
      <c r="E46" s="46"/>
      <c r="F46" s="46"/>
    </row>
    <row r="47" spans="2:6" ht="12.75">
      <c r="B47" s="46"/>
      <c r="C47" s="46"/>
      <c r="D47" s="46"/>
      <c r="E47" s="46"/>
      <c r="F47" s="46"/>
    </row>
    <row r="48" spans="2:6" ht="12.75">
      <c r="B48" s="46"/>
      <c r="C48" s="46"/>
      <c r="D48" s="46"/>
      <c r="E48" s="46"/>
      <c r="F48" s="46"/>
    </row>
    <row r="49" spans="2:8" ht="12.75">
      <c r="B49" s="46"/>
      <c r="C49" s="46"/>
      <c r="D49" s="46"/>
      <c r="E49" s="46"/>
      <c r="F49" s="46"/>
      <c r="H49" s="33"/>
    </row>
    <row r="50" spans="2:8" ht="12.75">
      <c r="B50" s="46"/>
      <c r="C50" s="46"/>
      <c r="D50" s="46"/>
      <c r="E50" s="46"/>
      <c r="F50" s="46"/>
      <c r="H50" s="33"/>
    </row>
    <row r="51" spans="2:8" ht="12.75">
      <c r="B51" s="46"/>
      <c r="C51" s="46"/>
      <c r="D51" s="46"/>
      <c r="E51" s="46"/>
      <c r="F51" s="46"/>
      <c r="H51" s="33"/>
    </row>
  </sheetData>
  <sheetProtection/>
  <printOptions horizontalCentered="1" verticalCentered="1"/>
  <pageMargins left="0.5" right="0.5" top="1" bottom="0.5" header="0.25" footer="0.3"/>
  <pageSetup fitToHeight="1" fitToWidth="1" horizontalDpi="300" verticalDpi="300" orientation="landscape" scale="80" r:id="rId1"/>
  <headerFooter>
    <oddHeader>&amp;C&amp;"-,Bold"&amp;12Forest Preserve District of Cook County
Corporate Fund Analysis of Revenue and Expense
As of January 31, 2014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145" zoomScaleNormal="145" zoomScalePageLayoutView="0" workbookViewId="0" topLeftCell="A1">
      <selection activeCell="G40" sqref="G40"/>
    </sheetView>
  </sheetViews>
  <sheetFormatPr defaultColWidth="12.421875" defaultRowHeight="15"/>
  <cols>
    <col min="1" max="1" width="26.7109375" style="5" customWidth="1"/>
    <col min="2" max="3" width="13.7109375" style="5" customWidth="1"/>
    <col min="4" max="6" width="20.7109375" style="5" customWidth="1"/>
    <col min="7" max="7" width="14.28125" style="5" customWidth="1"/>
    <col min="8" max="8" width="14.421875" style="5" customWidth="1"/>
    <col min="9" max="10" width="15.28125" style="5" customWidth="1"/>
    <col min="11" max="11" width="13.57421875" style="5" customWidth="1"/>
    <col min="12" max="12" width="15.28125" style="5" customWidth="1"/>
    <col min="13" max="13" width="15.421875" style="5" customWidth="1"/>
    <col min="14" max="14" width="8.00390625" style="5" customWidth="1"/>
    <col min="15" max="15" width="18.57421875" style="5" customWidth="1"/>
    <col min="16" max="16" width="13.7109375" style="5" customWidth="1"/>
    <col min="17" max="18" width="12.421875" style="5" customWidth="1"/>
    <col min="19" max="19" width="11.57421875" style="5" customWidth="1"/>
    <col min="20" max="16384" width="12.421875" style="5" customWidth="1"/>
  </cols>
  <sheetData>
    <row r="1" spans="1:11" ht="15" customHeight="1">
      <c r="A1" s="108" t="s">
        <v>0</v>
      </c>
      <c r="B1" s="114" t="s">
        <v>34</v>
      </c>
      <c r="C1" s="114" t="s">
        <v>88</v>
      </c>
      <c r="D1" s="19">
        <v>41244</v>
      </c>
      <c r="E1" s="19">
        <v>41609</v>
      </c>
      <c r="F1" s="110" t="s">
        <v>28</v>
      </c>
      <c r="G1" s="112" t="s">
        <v>29</v>
      </c>
      <c r="H1" s="6"/>
      <c r="I1" s="6"/>
      <c r="J1" s="6"/>
      <c r="K1" s="6"/>
    </row>
    <row r="2" spans="1:11" ht="15" customHeight="1">
      <c r="A2" s="108"/>
      <c r="B2" s="115" t="s">
        <v>25</v>
      </c>
      <c r="C2" s="115" t="s">
        <v>25</v>
      </c>
      <c r="D2" s="110" t="s">
        <v>26</v>
      </c>
      <c r="E2" s="110" t="s">
        <v>26</v>
      </c>
      <c r="F2" s="110"/>
      <c r="G2" s="112"/>
      <c r="H2" s="11"/>
      <c r="I2" s="11"/>
      <c r="J2" s="6"/>
      <c r="K2" s="11"/>
    </row>
    <row r="3" spans="1:11" ht="15" customHeight="1">
      <c r="A3" s="108"/>
      <c r="B3" s="106"/>
      <c r="C3" s="106"/>
      <c r="D3" s="110"/>
      <c r="E3" s="110"/>
      <c r="F3" s="110"/>
      <c r="G3" s="112"/>
      <c r="H3" s="11"/>
      <c r="I3" s="11"/>
      <c r="J3" s="11"/>
      <c r="K3" s="11"/>
    </row>
    <row r="4" spans="1:11" ht="15" customHeight="1">
      <c r="A4" s="20" t="s">
        <v>30</v>
      </c>
      <c r="B4" s="34">
        <f>41363334-1568167</f>
        <v>39795167</v>
      </c>
      <c r="C4" s="34">
        <f>46708559-1401257</f>
        <v>45307302</v>
      </c>
      <c r="D4" s="35" t="e">
        <f>#REF!</f>
        <v>#REF!</v>
      </c>
      <c r="E4" s="35">
        <f>'2013 PROFIT &amp; LOSSES'!AU5</f>
        <v>39879491.169999994</v>
      </c>
      <c r="F4" s="35" t="e">
        <f>E4-D4</f>
        <v>#REF!</v>
      </c>
      <c r="G4" s="42">
        <f>E4/C4</f>
        <v>0.8802000871735861</v>
      </c>
      <c r="H4" s="12"/>
      <c r="I4" s="12"/>
      <c r="J4" s="8"/>
      <c r="K4" s="12"/>
    </row>
    <row r="5" spans="1:11" ht="15" customHeight="1">
      <c r="A5" s="20" t="s">
        <v>31</v>
      </c>
      <c r="B5" s="34">
        <v>5200000</v>
      </c>
      <c r="C5" s="34">
        <v>834100</v>
      </c>
      <c r="D5" s="35" t="e">
        <f>#REF!</f>
        <v>#REF!</v>
      </c>
      <c r="E5" s="35">
        <f>'2013 PROFIT &amp; LOSSES'!AU8</f>
        <v>2476742.48</v>
      </c>
      <c r="F5" s="35" t="e">
        <f aca="true" t="shared" si="0" ref="F5:F19">E5-D5</f>
        <v>#REF!</v>
      </c>
      <c r="G5" s="42">
        <f aca="true" t="shared" si="1" ref="G5:G18">E5/C5</f>
        <v>2.9693591655676776</v>
      </c>
      <c r="H5" s="12"/>
      <c r="I5" s="32"/>
      <c r="J5" s="32"/>
      <c r="K5" s="12"/>
    </row>
    <row r="6" spans="1:11" ht="15" customHeight="1">
      <c r="A6" s="20" t="s">
        <v>1</v>
      </c>
      <c r="B6" s="34">
        <v>900000</v>
      </c>
      <c r="C6" s="34">
        <v>990000</v>
      </c>
      <c r="D6" s="35" t="e">
        <f>#REF!</f>
        <v>#REF!</v>
      </c>
      <c r="E6" s="35">
        <f>'2013 PROFIT &amp; LOSSES'!AU11</f>
        <v>565024.14</v>
      </c>
      <c r="F6" s="35" t="e">
        <f t="shared" si="0"/>
        <v>#REF!</v>
      </c>
      <c r="G6" s="42">
        <f t="shared" si="1"/>
        <v>0.5707314545454546</v>
      </c>
      <c r="H6" s="12"/>
      <c r="I6" s="31"/>
      <c r="J6" s="31"/>
      <c r="K6" s="12"/>
    </row>
    <row r="7" spans="1:11" ht="15" customHeight="1">
      <c r="A7" s="20" t="s">
        <v>2</v>
      </c>
      <c r="B7" s="34">
        <v>150000</v>
      </c>
      <c r="C7" s="34">
        <v>200000</v>
      </c>
      <c r="D7" s="35" t="e">
        <f>#REF!</f>
        <v>#REF!</v>
      </c>
      <c r="E7" s="35">
        <f>'2013 PROFIT &amp; LOSSES'!AU14</f>
        <v>187460.62</v>
      </c>
      <c r="F7" s="35" t="e">
        <f>E7-D7</f>
        <v>#REF!</v>
      </c>
      <c r="G7" s="42">
        <f t="shared" si="1"/>
        <v>0.9373031</v>
      </c>
      <c r="H7" s="12"/>
      <c r="I7" s="12"/>
      <c r="J7" s="8"/>
      <c r="K7" s="12"/>
    </row>
    <row r="8" spans="1:11" ht="15" customHeight="1">
      <c r="A8" s="20" t="s">
        <v>3</v>
      </c>
      <c r="B8" s="34">
        <v>1751670</v>
      </c>
      <c r="C8" s="34">
        <f>1165700+234300</f>
        <v>1400000</v>
      </c>
      <c r="D8" s="35" t="e">
        <f>#REF!</f>
        <v>#REF!</v>
      </c>
      <c r="E8" s="35">
        <f>'2013 PROFIT &amp; LOSSES'!AU16</f>
        <v>1412396.77</v>
      </c>
      <c r="F8" s="35" t="e">
        <f>E8-D8</f>
        <v>#REF!</v>
      </c>
      <c r="G8" s="42">
        <f t="shared" si="1"/>
        <v>1.0088548357142857</v>
      </c>
      <c r="H8" s="12"/>
      <c r="I8" s="12"/>
      <c r="J8" s="8"/>
      <c r="K8" s="12"/>
    </row>
    <row r="9" spans="1:11" ht="15" customHeight="1">
      <c r="A9" s="20" t="s">
        <v>4</v>
      </c>
      <c r="B9" s="34">
        <v>250000</v>
      </c>
      <c r="C9" s="34">
        <v>250000</v>
      </c>
      <c r="D9" s="35" t="e">
        <f>#REF!</f>
        <v>#REF!</v>
      </c>
      <c r="E9" s="35">
        <f>'2013 PROFIT &amp; LOSSES'!AU15</f>
        <v>329919.43</v>
      </c>
      <c r="F9" s="35" t="e">
        <f t="shared" si="0"/>
        <v>#REF!</v>
      </c>
      <c r="G9" s="42">
        <f t="shared" si="1"/>
        <v>1.31967772</v>
      </c>
      <c r="H9" s="12"/>
      <c r="I9" s="12"/>
      <c r="J9" s="8"/>
      <c r="K9" s="12"/>
    </row>
    <row r="10" spans="1:12" ht="15" customHeight="1">
      <c r="A10" s="20" t="s">
        <v>5</v>
      </c>
      <c r="B10" s="34">
        <v>25000</v>
      </c>
      <c r="C10" s="34">
        <v>15000</v>
      </c>
      <c r="D10" s="35" t="e">
        <f>#REF!</f>
        <v>#REF!</v>
      </c>
      <c r="E10" s="35">
        <f>'2013 PROFIT &amp; LOSSES'!AU17</f>
        <v>7250</v>
      </c>
      <c r="F10" s="35" t="e">
        <f t="shared" si="0"/>
        <v>#REF!</v>
      </c>
      <c r="G10" s="42">
        <f t="shared" si="1"/>
        <v>0.48333333333333334</v>
      </c>
      <c r="H10" s="12"/>
      <c r="I10" s="12"/>
      <c r="J10" s="8"/>
      <c r="K10" s="12"/>
      <c r="L10" s="4"/>
    </row>
    <row r="11" spans="1:11" ht="15" customHeight="1">
      <c r="A11" s="20" t="s">
        <v>6</v>
      </c>
      <c r="B11" s="34">
        <v>35000</v>
      </c>
      <c r="C11" s="34">
        <v>40000</v>
      </c>
      <c r="D11" s="35" t="e">
        <f>#REF!</f>
        <v>#REF!</v>
      </c>
      <c r="E11" s="35">
        <f>'2013 PROFIT &amp; LOSSES'!AU19</f>
        <v>53599</v>
      </c>
      <c r="F11" s="35" t="e">
        <f t="shared" si="0"/>
        <v>#REF!</v>
      </c>
      <c r="G11" s="42">
        <f t="shared" si="1"/>
        <v>1.339975</v>
      </c>
      <c r="H11" s="12"/>
      <c r="I11" s="12"/>
      <c r="J11" s="8"/>
      <c r="K11" s="12"/>
    </row>
    <row r="12" spans="1:11" ht="15" customHeight="1">
      <c r="A12" s="20" t="s">
        <v>7</v>
      </c>
      <c r="B12" s="34">
        <v>50000</v>
      </c>
      <c r="C12" s="34">
        <v>100000</v>
      </c>
      <c r="D12" s="35" t="e">
        <f>#REF!</f>
        <v>#REF!</v>
      </c>
      <c r="E12" s="35">
        <f>'2013 PROFIT &amp; LOSSES'!AU20</f>
        <v>152961.55000000002</v>
      </c>
      <c r="F12" s="35" t="e">
        <f t="shared" si="0"/>
        <v>#REF!</v>
      </c>
      <c r="G12" s="42">
        <f t="shared" si="1"/>
        <v>1.5296155000000002</v>
      </c>
      <c r="H12" s="12"/>
      <c r="I12" s="12"/>
      <c r="J12" s="8"/>
      <c r="K12" s="12"/>
    </row>
    <row r="13" spans="1:12" ht="15" customHeight="1">
      <c r="A13" s="20" t="s">
        <v>8</v>
      </c>
      <c r="B13" s="34">
        <v>850000</v>
      </c>
      <c r="C13" s="34">
        <v>890000</v>
      </c>
      <c r="D13" s="35" t="e">
        <f>#REF!</f>
        <v>#REF!</v>
      </c>
      <c r="E13" s="35">
        <f>'2013 PROFIT &amp; LOSSES'!AU12</f>
        <v>1054508.02</v>
      </c>
      <c r="F13" s="35" t="e">
        <f t="shared" si="0"/>
        <v>#REF!</v>
      </c>
      <c r="G13" s="42">
        <f t="shared" si="1"/>
        <v>1.1848404719101124</v>
      </c>
      <c r="H13" s="12"/>
      <c r="I13" s="12"/>
      <c r="J13" s="8"/>
      <c r="K13" s="12"/>
      <c r="L13" s="4"/>
    </row>
    <row r="14" spans="1:11" ht="15" customHeight="1">
      <c r="A14" s="20" t="s">
        <v>9</v>
      </c>
      <c r="B14" s="34">
        <v>250000</v>
      </c>
      <c r="C14" s="34">
        <v>400000</v>
      </c>
      <c r="D14" s="35" t="e">
        <f>#REF!</f>
        <v>#REF!</v>
      </c>
      <c r="E14" s="35">
        <f>'2013 PROFIT &amp; LOSSES'!AU13</f>
        <v>416679.78</v>
      </c>
      <c r="F14" s="35" t="e">
        <f t="shared" si="0"/>
        <v>#REF!</v>
      </c>
      <c r="G14" s="42">
        <f t="shared" si="1"/>
        <v>1.04169945</v>
      </c>
      <c r="H14" s="12"/>
      <c r="I14" s="12"/>
      <c r="J14" s="8"/>
      <c r="K14" s="12"/>
    </row>
    <row r="15" spans="1:11" ht="15" customHeight="1">
      <c r="A15" s="20" t="s">
        <v>10</v>
      </c>
      <c r="B15" s="34">
        <v>175000</v>
      </c>
      <c r="C15" s="34">
        <v>320000</v>
      </c>
      <c r="D15" s="35" t="e">
        <f>#REF!</f>
        <v>#REF!</v>
      </c>
      <c r="E15" s="35">
        <f>'2013 PROFIT &amp; LOSSES'!AU18</f>
        <v>490569.26</v>
      </c>
      <c r="F15" s="35" t="e">
        <f t="shared" si="0"/>
        <v>#REF!</v>
      </c>
      <c r="G15" s="42">
        <f t="shared" si="1"/>
        <v>1.5330289375000001</v>
      </c>
      <c r="H15" s="12"/>
      <c r="I15" s="12"/>
      <c r="J15" s="8"/>
      <c r="K15" s="12"/>
    </row>
    <row r="16" spans="1:11" ht="12.75">
      <c r="A16" s="20" t="s">
        <v>11</v>
      </c>
      <c r="B16" s="34">
        <v>50000</v>
      </c>
      <c r="C16" s="34">
        <v>150000</v>
      </c>
      <c r="D16" s="35" t="e">
        <f>#REF!</f>
        <v>#REF!</v>
      </c>
      <c r="E16" s="35">
        <f>'2013 PROFIT &amp; LOSSES'!AU21</f>
        <v>32459.36</v>
      </c>
      <c r="F16" s="35" t="e">
        <f t="shared" si="0"/>
        <v>#REF!</v>
      </c>
      <c r="G16" s="42">
        <f t="shared" si="1"/>
        <v>0.21639573333333334</v>
      </c>
      <c r="H16" s="12"/>
      <c r="I16" s="12"/>
      <c r="J16" s="8"/>
      <c r="K16" s="12"/>
    </row>
    <row r="17" spans="1:11" ht="15" customHeight="1" hidden="1">
      <c r="A17" s="20" t="s">
        <v>12</v>
      </c>
      <c r="B17" s="34"/>
      <c r="C17" s="34"/>
      <c r="D17" s="35" t="e">
        <f>#REF!</f>
        <v>#REF!</v>
      </c>
      <c r="E17" s="35">
        <v>0</v>
      </c>
      <c r="F17" s="35" t="e">
        <f t="shared" si="0"/>
        <v>#REF!</v>
      </c>
      <c r="G17" s="42" t="e">
        <f t="shared" si="1"/>
        <v>#DIV/0!</v>
      </c>
      <c r="H17" s="12"/>
      <c r="I17" s="12"/>
      <c r="J17" s="8"/>
      <c r="K17" s="12"/>
    </row>
    <row r="18" spans="1:11" ht="12.75" customHeight="1" hidden="1">
      <c r="A18" s="20"/>
      <c r="B18" s="34"/>
      <c r="C18" s="34"/>
      <c r="D18" s="35" t="e">
        <f>#REF!</f>
        <v>#REF!</v>
      </c>
      <c r="E18" s="35">
        <v>0</v>
      </c>
      <c r="F18" s="35" t="e">
        <f t="shared" si="0"/>
        <v>#REF!</v>
      </c>
      <c r="G18" s="42" t="e">
        <f t="shared" si="1"/>
        <v>#DIV/0!</v>
      </c>
      <c r="H18" s="2"/>
      <c r="I18" s="2"/>
      <c r="J18" s="3"/>
      <c r="K18" s="2"/>
    </row>
    <row r="19" spans="1:11" ht="15" customHeight="1">
      <c r="A19" s="26" t="s">
        <v>13</v>
      </c>
      <c r="B19" s="36">
        <v>8531566</v>
      </c>
      <c r="C19" s="36">
        <v>1945323</v>
      </c>
      <c r="D19" s="35">
        <v>0</v>
      </c>
      <c r="E19" s="37">
        <v>0</v>
      </c>
      <c r="F19" s="37">
        <f t="shared" si="0"/>
        <v>0</v>
      </c>
      <c r="G19" s="43"/>
      <c r="H19" s="12"/>
      <c r="I19" s="12"/>
      <c r="J19" s="8"/>
      <c r="K19" s="12"/>
    </row>
    <row r="20" spans="1:11" ht="15" customHeight="1">
      <c r="A20" s="27"/>
      <c r="B20" s="38"/>
      <c r="C20" s="38"/>
      <c r="D20" s="39"/>
      <c r="E20" s="39"/>
      <c r="F20" s="39"/>
      <c r="G20" s="44"/>
      <c r="H20" s="12"/>
      <c r="I20" s="12"/>
      <c r="J20" s="8"/>
      <c r="K20" s="12"/>
    </row>
    <row r="21" spans="1:14" s="10" customFormat="1" ht="18" customHeight="1">
      <c r="A21" s="18" t="s">
        <v>27</v>
      </c>
      <c r="B21" s="40">
        <f>SUM(B4:B19)</f>
        <v>58013403</v>
      </c>
      <c r="C21" s="40">
        <f>SUM(C4:C19)</f>
        <v>52841725</v>
      </c>
      <c r="D21" s="41" t="e">
        <f>D19+D16+D15+D14+D13+D12+D11+D10+D9+D8+D7+D6+D5+D4</f>
        <v>#REF!</v>
      </c>
      <c r="E21" s="41">
        <f>SUM(E4:E19)</f>
        <v>47059061.57999999</v>
      </c>
      <c r="F21" s="41" t="e">
        <f>SUM(F4:F19)</f>
        <v>#REF!</v>
      </c>
      <c r="G21" s="45">
        <f>E21/C21</f>
        <v>0.8905663390057761</v>
      </c>
      <c r="H21" s="12"/>
      <c r="I21" s="12">
        <f>E21-20900004.28</f>
        <v>26159057.29999999</v>
      </c>
      <c r="J21" s="8"/>
      <c r="K21" s="12"/>
      <c r="L21" s="8"/>
      <c r="N21" s="17"/>
    </row>
    <row r="22" spans="1:11" ht="12" customHeight="1">
      <c r="A22" s="1"/>
      <c r="B22" s="4"/>
      <c r="C22" s="4"/>
      <c r="D22" s="4"/>
      <c r="E22" s="4"/>
      <c r="F22" s="13"/>
      <c r="G22" s="13"/>
      <c r="H22" s="2"/>
      <c r="I22" s="2"/>
      <c r="J22" s="3"/>
      <c r="K22" s="2"/>
    </row>
    <row r="23" spans="1:10" ht="12" customHeight="1">
      <c r="A23" s="22"/>
      <c r="B23" s="23"/>
      <c r="C23" s="22"/>
      <c r="D23" s="92"/>
      <c r="E23" s="23"/>
      <c r="F23" s="24"/>
      <c r="G23" s="25"/>
      <c r="H23" s="14"/>
      <c r="I23" s="14"/>
      <c r="J23" s="14"/>
    </row>
    <row r="24" spans="1:9" ht="15" customHeight="1">
      <c r="A24" s="106" t="s">
        <v>14</v>
      </c>
      <c r="B24" s="106" t="s">
        <v>34</v>
      </c>
      <c r="C24" s="106" t="s">
        <v>88</v>
      </c>
      <c r="D24" s="19">
        <v>41244</v>
      </c>
      <c r="E24" s="19">
        <v>41609</v>
      </c>
      <c r="F24" s="109" t="s">
        <v>28</v>
      </c>
      <c r="G24" s="111" t="s">
        <v>29</v>
      </c>
      <c r="H24" s="6"/>
      <c r="I24" s="6"/>
    </row>
    <row r="25" spans="1:9" ht="15" customHeight="1">
      <c r="A25" s="107"/>
      <c r="B25" s="108"/>
      <c r="C25" s="108"/>
      <c r="D25" s="113" t="s">
        <v>26</v>
      </c>
      <c r="E25" s="110" t="s">
        <v>26</v>
      </c>
      <c r="F25" s="110"/>
      <c r="G25" s="112"/>
      <c r="H25" s="90"/>
      <c r="I25" s="11"/>
    </row>
    <row r="26" spans="1:10" ht="15" customHeight="1">
      <c r="A26" s="107"/>
      <c r="B26" s="108"/>
      <c r="C26" s="108"/>
      <c r="D26" s="109"/>
      <c r="E26" s="110"/>
      <c r="F26" s="110"/>
      <c r="G26" s="112"/>
      <c r="H26" s="11"/>
      <c r="I26" s="11"/>
      <c r="J26" s="15"/>
    </row>
    <row r="27" spans="1:10" ht="15" customHeight="1">
      <c r="A27" s="20" t="s">
        <v>15</v>
      </c>
      <c r="B27" s="34">
        <v>2100290</v>
      </c>
      <c r="C27" s="34">
        <v>1884258</v>
      </c>
      <c r="D27" s="35" t="e">
        <f>#REF!</f>
        <v>#REF!</v>
      </c>
      <c r="E27" s="35">
        <f>'2013 PROFIT &amp; LOSSES'!AU28</f>
        <v>1768168.7799999998</v>
      </c>
      <c r="F27" s="35" t="e">
        <f>E27-D27</f>
        <v>#REF!</v>
      </c>
      <c r="G27" s="21">
        <f>E27/C27</f>
        <v>0.9383899550910755</v>
      </c>
      <c r="H27" s="8"/>
      <c r="I27" s="12"/>
      <c r="J27" s="15"/>
    </row>
    <row r="28" spans="1:10" ht="15" customHeight="1">
      <c r="A28" s="20" t="s">
        <v>16</v>
      </c>
      <c r="B28" s="34">
        <v>1787221</v>
      </c>
      <c r="C28" s="34">
        <v>2054581</v>
      </c>
      <c r="D28" s="35" t="e">
        <f>#REF!</f>
        <v>#REF!</v>
      </c>
      <c r="E28" s="35">
        <f>'2013 PROFIT &amp; LOSSES'!AU32</f>
        <v>1532581.28</v>
      </c>
      <c r="F28" s="35" t="e">
        <f>E28-D28</f>
        <v>#REF!</v>
      </c>
      <c r="G28" s="21">
        <f aca="true" t="shared" si="2" ref="G28:G38">E28/C28</f>
        <v>0.7459337353942239</v>
      </c>
      <c r="H28" s="8"/>
      <c r="I28" s="9"/>
      <c r="J28" s="15"/>
    </row>
    <row r="29" spans="1:10" ht="15" customHeight="1">
      <c r="A29" s="20" t="s">
        <v>87</v>
      </c>
      <c r="B29" s="34">
        <v>696162</v>
      </c>
      <c r="C29" s="34">
        <v>585246</v>
      </c>
      <c r="D29" s="35" t="e">
        <f>#REF!</f>
        <v>#REF!</v>
      </c>
      <c r="E29" s="35">
        <f>'2013 PROFIT &amp; LOSSES'!AU36</f>
        <v>446183.77</v>
      </c>
      <c r="F29" s="35" t="e">
        <f aca="true" t="shared" si="3" ref="F29:F38">E29-D29</f>
        <v>#REF!</v>
      </c>
      <c r="G29" s="21">
        <f t="shared" si="2"/>
        <v>0.762386705761338</v>
      </c>
      <c r="H29" s="8"/>
      <c r="I29" s="9"/>
      <c r="J29" s="15"/>
    </row>
    <row r="30" spans="1:10" ht="15" customHeight="1">
      <c r="A30" s="20" t="s">
        <v>17</v>
      </c>
      <c r="B30" s="34">
        <v>7986645</v>
      </c>
      <c r="C30" s="34">
        <v>7653505</v>
      </c>
      <c r="D30" s="35" t="e">
        <f>#REF!</f>
        <v>#REF!</v>
      </c>
      <c r="E30" s="35">
        <f>'2013 PROFIT &amp; LOSSES'!AU40</f>
        <v>6453515.56</v>
      </c>
      <c r="F30" s="35" t="e">
        <f t="shared" si="3"/>
        <v>#REF!</v>
      </c>
      <c r="G30" s="21">
        <f t="shared" si="2"/>
        <v>0.8432104715421235</v>
      </c>
      <c r="H30" s="8"/>
      <c r="I30" s="9"/>
      <c r="J30" s="15"/>
    </row>
    <row r="31" spans="1:10" ht="15" customHeight="1">
      <c r="A31" s="20" t="s">
        <v>18</v>
      </c>
      <c r="B31" s="34">
        <v>20027575</v>
      </c>
      <c r="C31" s="34">
        <v>0</v>
      </c>
      <c r="D31" s="35" t="e">
        <f>#REF!</f>
        <v>#REF!</v>
      </c>
      <c r="E31" s="35">
        <v>0</v>
      </c>
      <c r="F31" s="35" t="e">
        <f>E31-D31</f>
        <v>#REF!</v>
      </c>
      <c r="G31" s="21">
        <v>0</v>
      </c>
      <c r="H31" s="8"/>
      <c r="I31" s="9"/>
      <c r="J31" s="15"/>
    </row>
    <row r="32" spans="1:10" ht="15" customHeight="1">
      <c r="A32" s="20" t="s">
        <v>93</v>
      </c>
      <c r="B32" s="34">
        <v>0</v>
      </c>
      <c r="C32" s="34">
        <v>10504913</v>
      </c>
      <c r="D32" s="35">
        <v>0</v>
      </c>
      <c r="E32" s="35">
        <f>'2013 PROFIT &amp; LOSSES'!AU48</f>
        <v>8554130.78</v>
      </c>
      <c r="F32" s="35">
        <f>E32-D32</f>
        <v>8554130.78</v>
      </c>
      <c r="G32" s="21">
        <f>E32/C32</f>
        <v>0.8142981079424455</v>
      </c>
      <c r="H32" s="8"/>
      <c r="I32" s="9"/>
      <c r="J32" s="15"/>
    </row>
    <row r="33" spans="1:10" ht="15" customHeight="1">
      <c r="A33" s="20" t="s">
        <v>94</v>
      </c>
      <c r="B33" s="34">
        <v>0</v>
      </c>
      <c r="C33" s="34">
        <f>8611145+592000</f>
        <v>9203145</v>
      </c>
      <c r="D33" s="35">
        <v>0</v>
      </c>
      <c r="E33" s="35">
        <f>'2013 PROFIT &amp; LOSSES'!AU52+'2013 PROFIT &amp; LOSSES'!AU56</f>
        <v>6583353.03</v>
      </c>
      <c r="F33" s="35">
        <f>E33-D33</f>
        <v>6583353.03</v>
      </c>
      <c r="G33" s="21">
        <f>E33/C33</f>
        <v>0.7153373145810481</v>
      </c>
      <c r="H33" s="8"/>
      <c r="I33" s="9"/>
      <c r="J33" s="15"/>
    </row>
    <row r="34" spans="1:10" ht="15" customHeight="1">
      <c r="A34" s="20" t="s">
        <v>19</v>
      </c>
      <c r="B34" s="34">
        <v>200000</v>
      </c>
      <c r="C34" s="34">
        <v>250000</v>
      </c>
      <c r="D34" s="35" t="e">
        <f>#REF!</f>
        <v>#REF!</v>
      </c>
      <c r="E34" s="35">
        <f>'2013 PROFIT &amp; LOSSES'!AU60</f>
        <v>146851.8</v>
      </c>
      <c r="F34" s="35" t="e">
        <f t="shared" si="3"/>
        <v>#REF!</v>
      </c>
      <c r="G34" s="21">
        <f t="shared" si="2"/>
        <v>0.5874071999999999</v>
      </c>
      <c r="H34" s="8"/>
      <c r="I34" s="9"/>
      <c r="J34" s="15"/>
    </row>
    <row r="35" spans="1:10" ht="15" customHeight="1">
      <c r="A35" s="91" t="s">
        <v>35</v>
      </c>
      <c r="B35" s="34">
        <v>2707564</v>
      </c>
      <c r="C35" s="34">
        <v>3046935</v>
      </c>
      <c r="D35" s="35" t="e">
        <f>#REF!</f>
        <v>#REF!</v>
      </c>
      <c r="E35" s="35">
        <f>'2013 PROFIT &amp; LOSSES'!AU44</f>
        <v>2221054.78</v>
      </c>
      <c r="F35" s="35" t="e">
        <f t="shared" si="3"/>
        <v>#REF!</v>
      </c>
      <c r="G35" s="21">
        <f t="shared" si="2"/>
        <v>0.7289472141676799</v>
      </c>
      <c r="H35" s="8"/>
      <c r="I35" s="9"/>
      <c r="J35" s="15"/>
    </row>
    <row r="36" spans="1:10" ht="15" customHeight="1">
      <c r="A36" s="20" t="s">
        <v>20</v>
      </c>
      <c r="B36" s="34">
        <v>9633492</v>
      </c>
      <c r="C36" s="34">
        <v>9514640</v>
      </c>
      <c r="D36" s="35" t="e">
        <f>#REF!</f>
        <v>#REF!</v>
      </c>
      <c r="E36" s="35">
        <f>'2013 PROFIT &amp; LOSSES'!AU62</f>
        <v>8578976.03</v>
      </c>
      <c r="F36" s="35" t="e">
        <f t="shared" si="3"/>
        <v>#REF!</v>
      </c>
      <c r="G36" s="21">
        <f t="shared" si="2"/>
        <v>0.9016606019775839</v>
      </c>
      <c r="H36" s="8"/>
      <c r="I36" s="9"/>
      <c r="J36" s="15"/>
    </row>
    <row r="37" spans="1:10" ht="15" customHeight="1">
      <c r="A37" s="20" t="s">
        <v>21</v>
      </c>
      <c r="B37" s="34">
        <v>1429731</v>
      </c>
      <c r="C37" s="34">
        <v>1365971</v>
      </c>
      <c r="D37" s="35" t="e">
        <f>#REF!</f>
        <v>#REF!</v>
      </c>
      <c r="E37" s="35">
        <f>'2013 PROFIT &amp; LOSSES'!AU66</f>
        <v>1089565.5</v>
      </c>
      <c r="F37" s="35" t="e">
        <f t="shared" si="3"/>
        <v>#REF!</v>
      </c>
      <c r="G37" s="21">
        <f t="shared" si="2"/>
        <v>0.7976490716127941</v>
      </c>
      <c r="H37" s="8"/>
      <c r="I37" s="9"/>
      <c r="J37" s="15"/>
    </row>
    <row r="38" spans="1:10" ht="15" customHeight="1">
      <c r="A38" s="20" t="s">
        <v>22</v>
      </c>
      <c r="B38" s="34">
        <v>1735303</v>
      </c>
      <c r="C38" s="34">
        <v>1813531</v>
      </c>
      <c r="D38" s="35" t="e">
        <f>#REF!</f>
        <v>#REF!</v>
      </c>
      <c r="E38" s="35">
        <f>'2013 PROFIT &amp; LOSSES'!AU70</f>
        <v>1557886.34</v>
      </c>
      <c r="F38" s="35" t="e">
        <f t="shared" si="3"/>
        <v>#REF!</v>
      </c>
      <c r="G38" s="21">
        <f t="shared" si="2"/>
        <v>0.859034855207879</v>
      </c>
      <c r="H38" s="8"/>
      <c r="I38" s="9"/>
      <c r="J38" s="16"/>
    </row>
    <row r="39" spans="1:10" ht="15" customHeight="1">
      <c r="A39" s="20" t="s">
        <v>23</v>
      </c>
      <c r="B39" s="34">
        <v>2709420</v>
      </c>
      <c r="C39" s="34">
        <v>3415000</v>
      </c>
      <c r="D39" s="35" t="e">
        <f>#REF!</f>
        <v>#REF!</v>
      </c>
      <c r="E39" s="35">
        <f>'2013 PROFIT &amp; LOSSES'!AU74</f>
        <v>1690325.26</v>
      </c>
      <c r="F39" s="35" t="e">
        <f>E39-D39</f>
        <v>#REF!</v>
      </c>
      <c r="G39" s="21">
        <f>E39/C39</f>
        <v>0.4949707935578331</v>
      </c>
      <c r="H39" s="8"/>
      <c r="I39" s="9"/>
      <c r="J39" s="16"/>
    </row>
    <row r="40" spans="1:9" ht="15" customHeight="1">
      <c r="A40" s="26" t="s">
        <v>24</v>
      </c>
      <c r="B40" s="36">
        <v>7000000</v>
      </c>
      <c r="C40" s="36">
        <v>1550000</v>
      </c>
      <c r="D40" s="35" t="e">
        <f>#REF!</f>
        <v>#REF!</v>
      </c>
      <c r="E40" s="35">
        <f>'2013 PROFIT &amp; LOSSES'!AU78</f>
        <v>1550000</v>
      </c>
      <c r="F40" s="35" t="e">
        <f>E40-D40</f>
        <v>#REF!</v>
      </c>
      <c r="G40" s="21">
        <f>E40/C40</f>
        <v>1</v>
      </c>
      <c r="H40" s="3"/>
      <c r="I40" s="7"/>
    </row>
    <row r="41" spans="1:9" ht="15" customHeight="1">
      <c r="A41" s="27"/>
      <c r="B41" s="38"/>
      <c r="C41" s="38"/>
      <c r="D41" s="39"/>
      <c r="E41" s="39"/>
      <c r="F41" s="39"/>
      <c r="G41" s="30"/>
      <c r="H41" s="3"/>
      <c r="I41" s="7"/>
    </row>
    <row r="42" spans="1:10" s="10" customFormat="1" ht="18" customHeight="1">
      <c r="A42" s="18" t="s">
        <v>27</v>
      </c>
      <c r="B42" s="40">
        <f>SUM(B27:B40)</f>
        <v>58013403</v>
      </c>
      <c r="C42" s="40">
        <f>SUM(C27:C40)</f>
        <v>52841725</v>
      </c>
      <c r="D42" s="41" t="e">
        <f>SUM(D27:D40)</f>
        <v>#REF!</v>
      </c>
      <c r="E42" s="41">
        <f>SUM(E27:E40)</f>
        <v>42172592.910000004</v>
      </c>
      <c r="F42" s="41" t="e">
        <f>SUM(F27:F40)</f>
        <v>#REF!</v>
      </c>
      <c r="G42" s="29">
        <f>E42/C42</f>
        <v>0.7980926608660108</v>
      </c>
      <c r="J42" s="16"/>
    </row>
    <row r="43" spans="2:6" ht="12.75">
      <c r="B43" s="46"/>
      <c r="C43" s="46"/>
      <c r="D43" s="46"/>
      <c r="E43" s="46"/>
      <c r="F43" s="46"/>
    </row>
    <row r="44" spans="2:6" ht="12.75">
      <c r="B44" s="46"/>
      <c r="C44" s="46"/>
      <c r="D44" s="46"/>
      <c r="E44" s="46"/>
      <c r="F44" s="46"/>
    </row>
    <row r="45" spans="2:6" ht="12.75">
      <c r="B45" s="46"/>
      <c r="C45" s="46"/>
      <c r="D45" s="46"/>
      <c r="E45" s="46"/>
      <c r="F45" s="46"/>
    </row>
    <row r="46" spans="2:6" ht="12.75">
      <c r="B46" s="46"/>
      <c r="C46" s="46"/>
      <c r="D46" s="46"/>
      <c r="E46" s="46"/>
      <c r="F46" s="46"/>
    </row>
    <row r="47" spans="2:6" ht="12.75">
      <c r="B47" s="46"/>
      <c r="C47" s="46"/>
      <c r="D47" s="46"/>
      <c r="E47" s="46"/>
      <c r="F47" s="46"/>
    </row>
    <row r="48" spans="2:6" ht="12.75">
      <c r="B48" s="46"/>
      <c r="C48" s="46"/>
      <c r="D48" s="46"/>
      <c r="E48" s="46"/>
      <c r="F48" s="46"/>
    </row>
    <row r="49" spans="2:8" ht="12.75">
      <c r="B49" s="46"/>
      <c r="C49" s="46"/>
      <c r="D49" s="46"/>
      <c r="E49" s="46"/>
      <c r="F49" s="46"/>
      <c r="H49" s="33"/>
    </row>
    <row r="50" spans="2:8" ht="12.75">
      <c r="B50" s="46"/>
      <c r="C50" s="46"/>
      <c r="D50" s="46"/>
      <c r="E50" s="46"/>
      <c r="F50" s="46"/>
      <c r="H50" s="33"/>
    </row>
    <row r="51" spans="2:8" ht="12.75">
      <c r="B51" s="46"/>
      <c r="C51" s="46"/>
      <c r="D51" s="46"/>
      <c r="E51" s="46"/>
      <c r="F51" s="46"/>
      <c r="H51" s="33"/>
    </row>
  </sheetData>
  <sheetProtection/>
  <mergeCells count="14">
    <mergeCell ref="A1:A3"/>
    <mergeCell ref="B1:B3"/>
    <mergeCell ref="C1:C3"/>
    <mergeCell ref="F1:F3"/>
    <mergeCell ref="G1:G3"/>
    <mergeCell ref="D2:D3"/>
    <mergeCell ref="E2:E3"/>
    <mergeCell ref="A24:A26"/>
    <mergeCell ref="B24:B26"/>
    <mergeCell ref="C24:C26"/>
    <mergeCell ref="F24:F26"/>
    <mergeCell ref="G24:G26"/>
    <mergeCell ref="D25:D26"/>
    <mergeCell ref="E25:E26"/>
  </mergeCells>
  <printOptions horizontalCentered="1" verticalCentered="1"/>
  <pageMargins left="0.5" right="0.5" top="1" bottom="0.5" header="0.25" footer="0.3"/>
  <pageSetup fitToHeight="1" fitToWidth="1" horizontalDpi="300" verticalDpi="300" orientation="landscape" scale="87" r:id="rId1"/>
  <headerFooter>
    <oddHeader>&amp;C&amp;"-,Bold"&amp;12Forest Preserve District of Cook County
Corporate Fund Analysis of Revenue and Expense
As of December 31 , 2013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145" zoomScaleNormal="145" zoomScalePageLayoutView="0" workbookViewId="0" topLeftCell="A1">
      <selection activeCell="D43" sqref="D43"/>
    </sheetView>
  </sheetViews>
  <sheetFormatPr defaultColWidth="12.421875" defaultRowHeight="15"/>
  <cols>
    <col min="1" max="1" width="26.7109375" style="5" customWidth="1"/>
    <col min="2" max="3" width="13.7109375" style="5" customWidth="1"/>
    <col min="4" max="6" width="20.7109375" style="5" customWidth="1"/>
    <col min="7" max="7" width="14.28125" style="5" customWidth="1"/>
    <col min="8" max="8" width="14.421875" style="5" customWidth="1"/>
    <col min="9" max="10" width="15.28125" style="5" customWidth="1"/>
    <col min="11" max="11" width="13.57421875" style="5" customWidth="1"/>
    <col min="12" max="12" width="15.28125" style="5" customWidth="1"/>
    <col min="13" max="13" width="15.421875" style="5" customWidth="1"/>
    <col min="14" max="14" width="8.00390625" style="5" customWidth="1"/>
    <col min="15" max="15" width="18.57421875" style="5" customWidth="1"/>
    <col min="16" max="16" width="13.7109375" style="5" customWidth="1"/>
    <col min="17" max="18" width="12.421875" style="5" customWidth="1"/>
    <col min="19" max="19" width="11.57421875" style="5" customWidth="1"/>
    <col min="20" max="16384" width="12.421875" style="5" customWidth="1"/>
  </cols>
  <sheetData>
    <row r="1" spans="1:11" ht="15" customHeight="1">
      <c r="A1" s="108" t="s">
        <v>0</v>
      </c>
      <c r="B1" s="114" t="s">
        <v>34</v>
      </c>
      <c r="C1" s="114" t="s">
        <v>88</v>
      </c>
      <c r="D1" s="19">
        <v>41214</v>
      </c>
      <c r="E1" s="19">
        <v>41579</v>
      </c>
      <c r="F1" s="110" t="s">
        <v>28</v>
      </c>
      <c r="G1" s="112" t="s">
        <v>29</v>
      </c>
      <c r="H1" s="6"/>
      <c r="I1" s="6"/>
      <c r="J1" s="6"/>
      <c r="K1" s="6"/>
    </row>
    <row r="2" spans="1:11" ht="15" customHeight="1">
      <c r="A2" s="108"/>
      <c r="B2" s="115" t="s">
        <v>25</v>
      </c>
      <c r="C2" s="115" t="s">
        <v>25</v>
      </c>
      <c r="D2" s="110" t="s">
        <v>26</v>
      </c>
      <c r="E2" s="110" t="s">
        <v>26</v>
      </c>
      <c r="F2" s="110"/>
      <c r="G2" s="112"/>
      <c r="H2" s="11"/>
      <c r="I2" s="11"/>
      <c r="J2" s="6"/>
      <c r="K2" s="11"/>
    </row>
    <row r="3" spans="1:11" ht="15" customHeight="1">
      <c r="A3" s="108"/>
      <c r="B3" s="106"/>
      <c r="C3" s="106"/>
      <c r="D3" s="110"/>
      <c r="E3" s="110"/>
      <c r="F3" s="110"/>
      <c r="G3" s="112"/>
      <c r="H3" s="11"/>
      <c r="I3" s="11"/>
      <c r="J3" s="11"/>
      <c r="K3" s="11"/>
    </row>
    <row r="4" spans="1:11" ht="15" customHeight="1">
      <c r="A4" s="20" t="s">
        <v>30</v>
      </c>
      <c r="B4" s="34">
        <f>41363334-1568167</f>
        <v>39795167</v>
      </c>
      <c r="C4" s="34">
        <f>46708559-1401257</f>
        <v>45307302</v>
      </c>
      <c r="D4" s="35" t="e">
        <f>#REF!</f>
        <v>#REF!</v>
      </c>
      <c r="E4" s="35">
        <f>'2013 PROFIT &amp; LOSSES'!AQ5</f>
        <v>39189337.199999996</v>
      </c>
      <c r="F4" s="35" t="e">
        <f>E4-D4</f>
        <v>#REF!</v>
      </c>
      <c r="G4" s="42">
        <f>E4/C4</f>
        <v>0.8649673555931446</v>
      </c>
      <c r="H4" s="12"/>
      <c r="I4" s="12"/>
      <c r="J4" s="8"/>
      <c r="K4" s="12"/>
    </row>
    <row r="5" spans="1:11" ht="15" customHeight="1">
      <c r="A5" s="20" t="s">
        <v>31</v>
      </c>
      <c r="B5" s="34">
        <v>5200000</v>
      </c>
      <c r="C5" s="34">
        <v>834100</v>
      </c>
      <c r="D5" s="35" t="e">
        <f>#REF!</f>
        <v>#REF!</v>
      </c>
      <c r="E5" s="35">
        <f>'2013 PROFIT &amp; LOSSES'!AQ8</f>
        <v>2072908.85</v>
      </c>
      <c r="F5" s="35" t="e">
        <f aca="true" t="shared" si="0" ref="F5:F19">E5-D5</f>
        <v>#REF!</v>
      </c>
      <c r="G5" s="42">
        <f aca="true" t="shared" si="1" ref="G5:G18">E5/C5</f>
        <v>2.485204232106462</v>
      </c>
      <c r="H5" s="12"/>
      <c r="I5" s="32"/>
      <c r="J5" s="32"/>
      <c r="K5" s="12"/>
    </row>
    <row r="6" spans="1:11" ht="15" customHeight="1">
      <c r="A6" s="20" t="s">
        <v>1</v>
      </c>
      <c r="B6" s="34">
        <v>900000</v>
      </c>
      <c r="C6" s="34">
        <v>990000</v>
      </c>
      <c r="D6" s="35" t="e">
        <f>#REF!</f>
        <v>#REF!</v>
      </c>
      <c r="E6" s="35">
        <f>'2013 PROFIT &amp; LOSSES'!AQ11</f>
        <v>415024.14</v>
      </c>
      <c r="F6" s="35" t="e">
        <f t="shared" si="0"/>
        <v>#REF!</v>
      </c>
      <c r="G6" s="42">
        <f t="shared" si="1"/>
        <v>0.41921630303030305</v>
      </c>
      <c r="H6" s="12"/>
      <c r="I6" s="31"/>
      <c r="J6" s="31"/>
      <c r="K6" s="12"/>
    </row>
    <row r="7" spans="1:11" ht="15" customHeight="1">
      <c r="A7" s="20" t="s">
        <v>2</v>
      </c>
      <c r="B7" s="34">
        <v>150000</v>
      </c>
      <c r="C7" s="34">
        <v>200000</v>
      </c>
      <c r="D7" s="35" t="e">
        <f>#REF!</f>
        <v>#REF!</v>
      </c>
      <c r="E7" s="35">
        <f>'2013 PROFIT &amp; LOSSES'!AQ14</f>
        <v>177294.8</v>
      </c>
      <c r="F7" s="35" t="e">
        <f>E7-D7</f>
        <v>#REF!</v>
      </c>
      <c r="G7" s="42">
        <f t="shared" si="1"/>
        <v>0.886474</v>
      </c>
      <c r="H7" s="12"/>
      <c r="I7" s="12"/>
      <c r="J7" s="8"/>
      <c r="K7" s="12"/>
    </row>
    <row r="8" spans="1:11" ht="15" customHeight="1">
      <c r="A8" s="20" t="s">
        <v>3</v>
      </c>
      <c r="B8" s="34">
        <v>1751670</v>
      </c>
      <c r="C8" s="34">
        <f>1165700+234300</f>
        <v>1400000</v>
      </c>
      <c r="D8" s="35" t="e">
        <f>#REF!</f>
        <v>#REF!</v>
      </c>
      <c r="E8" s="35">
        <f>'2013 PROFIT &amp; LOSSES'!AQ16</f>
        <v>1207786.01</v>
      </c>
      <c r="F8" s="35" t="e">
        <f>E8-D8</f>
        <v>#REF!</v>
      </c>
      <c r="G8" s="42">
        <f t="shared" si="1"/>
        <v>0.8627042928571429</v>
      </c>
      <c r="H8" s="12"/>
      <c r="I8" s="12"/>
      <c r="J8" s="8"/>
      <c r="K8" s="12"/>
    </row>
    <row r="9" spans="1:11" ht="15" customHeight="1">
      <c r="A9" s="20" t="s">
        <v>4</v>
      </c>
      <c r="B9" s="34">
        <v>250000</v>
      </c>
      <c r="C9" s="34">
        <v>250000</v>
      </c>
      <c r="D9" s="35" t="e">
        <f>#REF!</f>
        <v>#REF!</v>
      </c>
      <c r="E9" s="35">
        <f>'2013 PROFIT &amp; LOSSES'!AQ15</f>
        <v>302715.21</v>
      </c>
      <c r="F9" s="35" t="e">
        <f t="shared" si="0"/>
        <v>#REF!</v>
      </c>
      <c r="G9" s="42">
        <f t="shared" si="1"/>
        <v>1.21086084</v>
      </c>
      <c r="H9" s="12"/>
      <c r="I9" s="12"/>
      <c r="J9" s="8"/>
      <c r="K9" s="12"/>
    </row>
    <row r="10" spans="1:12" ht="15" customHeight="1">
      <c r="A10" s="20" t="s">
        <v>5</v>
      </c>
      <c r="B10" s="34">
        <v>25000</v>
      </c>
      <c r="C10" s="34">
        <v>15000</v>
      </c>
      <c r="D10" s="35" t="e">
        <f>#REF!</f>
        <v>#REF!</v>
      </c>
      <c r="E10" s="35">
        <f>'2013 PROFIT &amp; LOSSES'!AQ17</f>
        <v>5450</v>
      </c>
      <c r="F10" s="35" t="e">
        <f t="shared" si="0"/>
        <v>#REF!</v>
      </c>
      <c r="G10" s="42">
        <f t="shared" si="1"/>
        <v>0.36333333333333334</v>
      </c>
      <c r="H10" s="12"/>
      <c r="I10" s="12"/>
      <c r="J10" s="8"/>
      <c r="K10" s="12"/>
      <c r="L10" s="4"/>
    </row>
    <row r="11" spans="1:11" ht="15" customHeight="1">
      <c r="A11" s="20" t="s">
        <v>6</v>
      </c>
      <c r="B11" s="34">
        <v>35000</v>
      </c>
      <c r="C11" s="34">
        <v>40000</v>
      </c>
      <c r="D11" s="35" t="e">
        <f>#REF!</f>
        <v>#REF!</v>
      </c>
      <c r="E11" s="35">
        <f>'2013 PROFIT &amp; LOSSES'!AQ19</f>
        <v>53217</v>
      </c>
      <c r="F11" s="35" t="e">
        <f t="shared" si="0"/>
        <v>#REF!</v>
      </c>
      <c r="G11" s="42">
        <f t="shared" si="1"/>
        <v>1.330425</v>
      </c>
      <c r="H11" s="12"/>
      <c r="I11" s="12"/>
      <c r="J11" s="8"/>
      <c r="K11" s="12"/>
    </row>
    <row r="12" spans="1:11" ht="15" customHeight="1">
      <c r="A12" s="20" t="s">
        <v>7</v>
      </c>
      <c r="B12" s="34">
        <v>50000</v>
      </c>
      <c r="C12" s="34">
        <v>100000</v>
      </c>
      <c r="D12" s="35" t="e">
        <f>#REF!</f>
        <v>#REF!</v>
      </c>
      <c r="E12" s="35">
        <f>'2013 PROFIT &amp; LOSSES'!AQ20</f>
        <v>129382.42</v>
      </c>
      <c r="F12" s="35" t="e">
        <f t="shared" si="0"/>
        <v>#REF!</v>
      </c>
      <c r="G12" s="42">
        <f t="shared" si="1"/>
        <v>1.2938242</v>
      </c>
      <c r="H12" s="12"/>
      <c r="I12" s="12"/>
      <c r="J12" s="8"/>
      <c r="K12" s="12"/>
    </row>
    <row r="13" spans="1:12" ht="15" customHeight="1">
      <c r="A13" s="20" t="s">
        <v>8</v>
      </c>
      <c r="B13" s="34">
        <v>850000</v>
      </c>
      <c r="C13" s="34">
        <v>890000</v>
      </c>
      <c r="D13" s="35" t="e">
        <f>#REF!</f>
        <v>#REF!</v>
      </c>
      <c r="E13" s="35">
        <f>'2013 PROFIT &amp; LOSSES'!AQ12</f>
        <v>1049025.1400000001</v>
      </c>
      <c r="F13" s="35" t="e">
        <f t="shared" si="0"/>
        <v>#REF!</v>
      </c>
      <c r="G13" s="42">
        <f t="shared" si="1"/>
        <v>1.1786799325842698</v>
      </c>
      <c r="H13" s="12"/>
      <c r="I13" s="12"/>
      <c r="J13" s="8"/>
      <c r="K13" s="12"/>
      <c r="L13" s="4"/>
    </row>
    <row r="14" spans="1:11" ht="15" customHeight="1">
      <c r="A14" s="20" t="s">
        <v>9</v>
      </c>
      <c r="B14" s="34">
        <v>250000</v>
      </c>
      <c r="C14" s="34">
        <v>400000</v>
      </c>
      <c r="D14" s="35" t="e">
        <f>#REF!</f>
        <v>#REF!</v>
      </c>
      <c r="E14" s="35">
        <f>'2013 PROFIT &amp; LOSSES'!AQ13</f>
        <v>416709.74</v>
      </c>
      <c r="F14" s="35" t="e">
        <f t="shared" si="0"/>
        <v>#REF!</v>
      </c>
      <c r="G14" s="42">
        <f t="shared" si="1"/>
        <v>1.04177435</v>
      </c>
      <c r="H14" s="12"/>
      <c r="I14" s="12"/>
      <c r="J14" s="8"/>
      <c r="K14" s="12"/>
    </row>
    <row r="15" spans="1:11" ht="15" customHeight="1">
      <c r="A15" s="20" t="s">
        <v>10</v>
      </c>
      <c r="B15" s="34">
        <v>175000</v>
      </c>
      <c r="C15" s="34">
        <v>320000</v>
      </c>
      <c r="D15" s="35" t="e">
        <f>#REF!</f>
        <v>#REF!</v>
      </c>
      <c r="E15" s="35">
        <f>'2013 PROFIT &amp; LOSSES'!AQ18</f>
        <v>478894.09</v>
      </c>
      <c r="F15" s="35" t="e">
        <f t="shared" si="0"/>
        <v>#REF!</v>
      </c>
      <c r="G15" s="42">
        <f t="shared" si="1"/>
        <v>1.49654403125</v>
      </c>
      <c r="H15" s="12"/>
      <c r="I15" s="12"/>
      <c r="J15" s="8"/>
      <c r="K15" s="12"/>
    </row>
    <row r="16" spans="1:11" ht="12.75">
      <c r="A16" s="20" t="s">
        <v>11</v>
      </c>
      <c r="B16" s="34">
        <v>50000</v>
      </c>
      <c r="C16" s="34">
        <v>150000</v>
      </c>
      <c r="D16" s="35" t="e">
        <f>#REF!</f>
        <v>#REF!</v>
      </c>
      <c r="E16" s="35">
        <f>'2013 PROFIT &amp; LOSSES'!AQ21</f>
        <v>30457.54</v>
      </c>
      <c r="F16" s="35" t="e">
        <f t="shared" si="0"/>
        <v>#REF!</v>
      </c>
      <c r="G16" s="42">
        <f t="shared" si="1"/>
        <v>0.20305026666666667</v>
      </c>
      <c r="H16" s="12"/>
      <c r="I16" s="12"/>
      <c r="J16" s="8"/>
      <c r="K16" s="12"/>
    </row>
    <row r="17" spans="1:11" ht="15" customHeight="1" hidden="1">
      <c r="A17" s="20" t="s">
        <v>12</v>
      </c>
      <c r="B17" s="34"/>
      <c r="C17" s="34"/>
      <c r="D17" s="35" t="e">
        <f>#REF!</f>
        <v>#REF!</v>
      </c>
      <c r="E17" s="35">
        <v>0</v>
      </c>
      <c r="F17" s="35" t="e">
        <f t="shared" si="0"/>
        <v>#REF!</v>
      </c>
      <c r="G17" s="42" t="e">
        <f t="shared" si="1"/>
        <v>#DIV/0!</v>
      </c>
      <c r="H17" s="12"/>
      <c r="I17" s="12"/>
      <c r="J17" s="8"/>
      <c r="K17" s="12"/>
    </row>
    <row r="18" spans="1:11" ht="12.75" customHeight="1" hidden="1">
      <c r="A18" s="20"/>
      <c r="B18" s="34"/>
      <c r="C18" s="34"/>
      <c r="D18" s="35" t="e">
        <f>#REF!</f>
        <v>#REF!</v>
      </c>
      <c r="E18" s="35">
        <v>0</v>
      </c>
      <c r="F18" s="35" t="e">
        <f t="shared" si="0"/>
        <v>#REF!</v>
      </c>
      <c r="G18" s="42" t="e">
        <f t="shared" si="1"/>
        <v>#DIV/0!</v>
      </c>
      <c r="H18" s="2"/>
      <c r="I18" s="2"/>
      <c r="J18" s="3"/>
      <c r="K18" s="2"/>
    </row>
    <row r="19" spans="1:11" ht="15" customHeight="1">
      <c r="A19" s="26" t="s">
        <v>13</v>
      </c>
      <c r="B19" s="36">
        <v>8531566</v>
      </c>
      <c r="C19" s="36">
        <v>1945323</v>
      </c>
      <c r="D19" s="35">
        <v>0</v>
      </c>
      <c r="E19" s="37">
        <v>0</v>
      </c>
      <c r="F19" s="37">
        <f t="shared" si="0"/>
        <v>0</v>
      </c>
      <c r="G19" s="43"/>
      <c r="H19" s="12"/>
      <c r="I19" s="12"/>
      <c r="J19" s="8"/>
      <c r="K19" s="12"/>
    </row>
    <row r="20" spans="1:11" ht="15" customHeight="1">
      <c r="A20" s="27"/>
      <c r="B20" s="38"/>
      <c r="C20" s="38"/>
      <c r="D20" s="39"/>
      <c r="E20" s="39"/>
      <c r="F20" s="39"/>
      <c r="G20" s="44"/>
      <c r="H20" s="12"/>
      <c r="I20" s="12"/>
      <c r="J20" s="8"/>
      <c r="K20" s="12"/>
    </row>
    <row r="21" spans="1:14" s="10" customFormat="1" ht="18" customHeight="1">
      <c r="A21" s="18" t="s">
        <v>27</v>
      </c>
      <c r="B21" s="40">
        <f>SUM(B4:B19)</f>
        <v>58013403</v>
      </c>
      <c r="C21" s="40">
        <f>SUM(C4:C19)</f>
        <v>52841725</v>
      </c>
      <c r="D21" s="41" t="e">
        <f>D19+D16+D15+D14+D13+D12+D11+D10+D9+D8+D7+D6+D5+D4</f>
        <v>#REF!</v>
      </c>
      <c r="E21" s="41">
        <f>SUM(E4:E19)</f>
        <v>45528202.14</v>
      </c>
      <c r="F21" s="41" t="e">
        <f>SUM(F4:F19)</f>
        <v>#REF!</v>
      </c>
      <c r="G21" s="45">
        <f>E21/C21</f>
        <v>0.8615956829569814</v>
      </c>
      <c r="H21" s="12"/>
      <c r="I21" s="12">
        <f>E21-20900004.28</f>
        <v>24628197.86</v>
      </c>
      <c r="J21" s="8"/>
      <c r="K21" s="12"/>
      <c r="L21" s="8"/>
      <c r="N21" s="17"/>
    </row>
    <row r="22" spans="1:11" ht="12" customHeight="1">
      <c r="A22" s="1"/>
      <c r="B22" s="4"/>
      <c r="C22" s="4"/>
      <c r="D22" s="4"/>
      <c r="E22" s="4"/>
      <c r="F22" s="13"/>
      <c r="G22" s="13"/>
      <c r="H22" s="2"/>
      <c r="I22" s="2"/>
      <c r="J22" s="3"/>
      <c r="K22" s="2"/>
    </row>
    <row r="23" spans="1:10" ht="12" customHeight="1">
      <c r="A23" s="22"/>
      <c r="B23" s="23"/>
      <c r="C23" s="22"/>
      <c r="D23" s="92"/>
      <c r="E23" s="23"/>
      <c r="F23" s="24"/>
      <c r="G23" s="25"/>
      <c r="H23" s="14"/>
      <c r="I23" s="14"/>
      <c r="J23" s="14"/>
    </row>
    <row r="24" spans="1:9" ht="15" customHeight="1">
      <c r="A24" s="106" t="s">
        <v>14</v>
      </c>
      <c r="B24" s="106" t="s">
        <v>34</v>
      </c>
      <c r="C24" s="106" t="s">
        <v>88</v>
      </c>
      <c r="D24" s="19">
        <v>41214</v>
      </c>
      <c r="E24" s="19">
        <v>41579</v>
      </c>
      <c r="F24" s="109" t="s">
        <v>28</v>
      </c>
      <c r="G24" s="111" t="s">
        <v>29</v>
      </c>
      <c r="H24" s="6"/>
      <c r="I24" s="6"/>
    </row>
    <row r="25" spans="1:9" ht="15" customHeight="1">
      <c r="A25" s="107"/>
      <c r="B25" s="108"/>
      <c r="C25" s="108"/>
      <c r="D25" s="113" t="s">
        <v>26</v>
      </c>
      <c r="E25" s="110" t="s">
        <v>26</v>
      </c>
      <c r="F25" s="110"/>
      <c r="G25" s="112"/>
      <c r="H25" s="90"/>
      <c r="I25" s="11"/>
    </row>
    <row r="26" spans="1:10" ht="15" customHeight="1">
      <c r="A26" s="107"/>
      <c r="B26" s="108"/>
      <c r="C26" s="108"/>
      <c r="D26" s="109"/>
      <c r="E26" s="110"/>
      <c r="F26" s="110"/>
      <c r="G26" s="112"/>
      <c r="H26" s="11"/>
      <c r="I26" s="11"/>
      <c r="J26" s="15"/>
    </row>
    <row r="27" spans="1:10" ht="15" customHeight="1">
      <c r="A27" s="20" t="s">
        <v>15</v>
      </c>
      <c r="B27" s="34">
        <v>2100290</v>
      </c>
      <c r="C27" s="34">
        <v>1884258</v>
      </c>
      <c r="D27" s="35" t="e">
        <f>#REF!</f>
        <v>#REF!</v>
      </c>
      <c r="E27" s="35">
        <f>'2013 PROFIT &amp; LOSSES'!AQ28</f>
        <v>1609675.038</v>
      </c>
      <c r="F27" s="35" t="e">
        <f>E27-D27</f>
        <v>#REF!</v>
      </c>
      <c r="G27" s="21">
        <f>E27/C27</f>
        <v>0.8542752839579293</v>
      </c>
      <c r="H27" s="8"/>
      <c r="I27" s="12"/>
      <c r="J27" s="15"/>
    </row>
    <row r="28" spans="1:10" ht="15" customHeight="1">
      <c r="A28" s="20" t="s">
        <v>16</v>
      </c>
      <c r="B28" s="34">
        <v>1787221</v>
      </c>
      <c r="C28" s="34">
        <v>2054581</v>
      </c>
      <c r="D28" s="35" t="e">
        <f>#REF!</f>
        <v>#REF!</v>
      </c>
      <c r="E28" s="35">
        <f>'2013 PROFIT &amp; LOSSES'!AQ32</f>
        <v>1403707.8</v>
      </c>
      <c r="F28" s="35" t="e">
        <f>E28-D28</f>
        <v>#REF!</v>
      </c>
      <c r="G28" s="21">
        <f aca="true" t="shared" si="2" ref="G28:G38">E28/C28</f>
        <v>0.6832087905027838</v>
      </c>
      <c r="H28" s="8"/>
      <c r="I28" s="9"/>
      <c r="J28" s="15"/>
    </row>
    <row r="29" spans="1:10" ht="15" customHeight="1">
      <c r="A29" s="20" t="s">
        <v>87</v>
      </c>
      <c r="B29" s="34">
        <v>696162</v>
      </c>
      <c r="C29" s="34">
        <v>585246</v>
      </c>
      <c r="D29" s="35" t="e">
        <f>#REF!</f>
        <v>#REF!</v>
      </c>
      <c r="E29" s="35">
        <f>'2013 PROFIT &amp; LOSSES'!AQ36</f>
        <v>396130.04</v>
      </c>
      <c r="F29" s="35" t="e">
        <f aca="true" t="shared" si="3" ref="F29:F40">E29-D29</f>
        <v>#REF!</v>
      </c>
      <c r="G29" s="21">
        <f t="shared" si="2"/>
        <v>0.6768607389029571</v>
      </c>
      <c r="H29" s="8"/>
      <c r="I29" s="9"/>
      <c r="J29" s="15"/>
    </row>
    <row r="30" spans="1:10" ht="15" customHeight="1">
      <c r="A30" s="20" t="s">
        <v>17</v>
      </c>
      <c r="B30" s="34">
        <v>7986645</v>
      </c>
      <c r="C30" s="34">
        <v>7653505</v>
      </c>
      <c r="D30" s="35" t="e">
        <f>#REF!</f>
        <v>#REF!</v>
      </c>
      <c r="E30" s="35">
        <f>'2013 PROFIT &amp; LOSSES'!AQ40</f>
        <v>5922553.88</v>
      </c>
      <c r="F30" s="35" t="e">
        <f t="shared" si="3"/>
        <v>#REF!</v>
      </c>
      <c r="G30" s="21">
        <f t="shared" si="2"/>
        <v>0.7738355015120523</v>
      </c>
      <c r="H30" s="8"/>
      <c r="I30" s="9"/>
      <c r="J30" s="15"/>
    </row>
    <row r="31" spans="1:10" ht="15" customHeight="1">
      <c r="A31" s="20" t="s">
        <v>18</v>
      </c>
      <c r="B31" s="34">
        <v>20027575</v>
      </c>
      <c r="C31" s="34">
        <v>0</v>
      </c>
      <c r="D31" s="35" t="e">
        <f>#REF!</f>
        <v>#REF!</v>
      </c>
      <c r="E31" s="35">
        <v>0</v>
      </c>
      <c r="F31" s="35" t="e">
        <f>E31-D31</f>
        <v>#REF!</v>
      </c>
      <c r="G31" s="21">
        <v>0</v>
      </c>
      <c r="H31" s="8"/>
      <c r="I31" s="9"/>
      <c r="J31" s="15"/>
    </row>
    <row r="32" spans="1:10" ht="15" customHeight="1">
      <c r="A32" s="20" t="s">
        <v>93</v>
      </c>
      <c r="B32" s="34">
        <v>0</v>
      </c>
      <c r="C32" s="34">
        <v>10504913</v>
      </c>
      <c r="D32" s="35">
        <v>0</v>
      </c>
      <c r="E32" s="35">
        <f>'2013 PROFIT &amp; LOSSES'!AQ48</f>
        <v>7836465.83</v>
      </c>
      <c r="F32" s="35">
        <f>E32-D32</f>
        <v>7836465.83</v>
      </c>
      <c r="G32" s="21">
        <f>E32/C32</f>
        <v>0.7459810309709372</v>
      </c>
      <c r="H32" s="8"/>
      <c r="I32" s="9"/>
      <c r="J32" s="15"/>
    </row>
    <row r="33" spans="1:10" ht="15" customHeight="1">
      <c r="A33" s="20" t="s">
        <v>94</v>
      </c>
      <c r="B33" s="34">
        <v>0</v>
      </c>
      <c r="C33" s="34">
        <f>8611145+592000</f>
        <v>9203145</v>
      </c>
      <c r="D33" s="35">
        <v>0</v>
      </c>
      <c r="E33" s="35">
        <f>'2013 PROFIT &amp; LOSSES'!AQ52+'2013 PROFIT &amp; LOSSES'!AQ56</f>
        <v>5847849.26</v>
      </c>
      <c r="F33" s="35">
        <f>E33-D33</f>
        <v>5847849.26</v>
      </c>
      <c r="G33" s="21">
        <f>E33/C33</f>
        <v>0.6354185726727113</v>
      </c>
      <c r="H33" s="8"/>
      <c r="I33" s="9"/>
      <c r="J33" s="15"/>
    </row>
    <row r="34" spans="1:10" ht="15" customHeight="1">
      <c r="A34" s="20" t="s">
        <v>19</v>
      </c>
      <c r="B34" s="34">
        <v>200000</v>
      </c>
      <c r="C34" s="34">
        <v>250000</v>
      </c>
      <c r="D34" s="35" t="e">
        <f>#REF!</f>
        <v>#REF!</v>
      </c>
      <c r="E34" s="35">
        <f>'2013 PROFIT &amp; LOSSES'!AQ60</f>
        <v>117103.59</v>
      </c>
      <c r="F34" s="35" t="e">
        <f t="shared" si="3"/>
        <v>#REF!</v>
      </c>
      <c r="G34" s="21">
        <f t="shared" si="2"/>
        <v>0.46841436</v>
      </c>
      <c r="H34" s="8"/>
      <c r="I34" s="9"/>
      <c r="J34" s="15"/>
    </row>
    <row r="35" spans="1:10" ht="15" customHeight="1">
      <c r="A35" s="91" t="s">
        <v>35</v>
      </c>
      <c r="B35" s="34">
        <v>2707564</v>
      </c>
      <c r="C35" s="34">
        <v>3046935</v>
      </c>
      <c r="D35" s="35" t="e">
        <f>#REF!</f>
        <v>#REF!</v>
      </c>
      <c r="E35" s="35">
        <f>'2013 PROFIT &amp; LOSSES'!AQ44</f>
        <v>1965005.04</v>
      </c>
      <c r="F35" s="35" t="e">
        <f t="shared" si="3"/>
        <v>#REF!</v>
      </c>
      <c r="G35" s="21">
        <f t="shared" si="2"/>
        <v>0.6449120312707688</v>
      </c>
      <c r="H35" s="8"/>
      <c r="I35" s="9"/>
      <c r="J35" s="15"/>
    </row>
    <row r="36" spans="1:10" ht="15" customHeight="1">
      <c r="A36" s="20" t="s">
        <v>20</v>
      </c>
      <c r="B36" s="34">
        <v>9633492</v>
      </c>
      <c r="C36" s="34">
        <v>9514640</v>
      </c>
      <c r="D36" s="35" t="e">
        <f>#REF!</f>
        <v>#REF!</v>
      </c>
      <c r="E36" s="35">
        <f>'2013 PROFIT &amp; LOSSES'!AQ62</f>
        <v>7898324.51</v>
      </c>
      <c r="F36" s="35" t="e">
        <f t="shared" si="3"/>
        <v>#REF!</v>
      </c>
      <c r="G36" s="21">
        <f t="shared" si="2"/>
        <v>0.8301233162789133</v>
      </c>
      <c r="H36" s="8"/>
      <c r="I36" s="9"/>
      <c r="J36" s="15"/>
    </row>
    <row r="37" spans="1:10" ht="15" customHeight="1">
      <c r="A37" s="20" t="s">
        <v>21</v>
      </c>
      <c r="B37" s="34">
        <v>1429731</v>
      </c>
      <c r="C37" s="34">
        <v>1365971</v>
      </c>
      <c r="D37" s="35" t="e">
        <f>#REF!</f>
        <v>#REF!</v>
      </c>
      <c r="E37" s="35">
        <f>'2013 PROFIT &amp; LOSSES'!AQ66</f>
        <v>990418.47</v>
      </c>
      <c r="F37" s="35" t="e">
        <f t="shared" si="3"/>
        <v>#REF!</v>
      </c>
      <c r="G37" s="21">
        <f t="shared" si="2"/>
        <v>0.7250655174963451</v>
      </c>
      <c r="H37" s="8"/>
      <c r="I37" s="9"/>
      <c r="J37" s="15"/>
    </row>
    <row r="38" spans="1:10" ht="15" customHeight="1">
      <c r="A38" s="20" t="s">
        <v>22</v>
      </c>
      <c r="B38" s="34">
        <v>1735303</v>
      </c>
      <c r="C38" s="34">
        <v>1813531</v>
      </c>
      <c r="D38" s="35" t="e">
        <f>#REF!</f>
        <v>#REF!</v>
      </c>
      <c r="E38" s="35">
        <f>'2013 PROFIT &amp; LOSSES'!AQ70</f>
        <v>1436664.15</v>
      </c>
      <c r="F38" s="35" t="e">
        <f t="shared" si="3"/>
        <v>#REF!</v>
      </c>
      <c r="G38" s="21">
        <f t="shared" si="2"/>
        <v>0.7921916691801794</v>
      </c>
      <c r="H38" s="8"/>
      <c r="I38" s="9"/>
      <c r="J38" s="16"/>
    </row>
    <row r="39" spans="1:10" ht="15" customHeight="1">
      <c r="A39" s="20" t="s">
        <v>23</v>
      </c>
      <c r="B39" s="34">
        <v>2709420</v>
      </c>
      <c r="C39" s="34">
        <v>3415000</v>
      </c>
      <c r="D39" s="35" t="e">
        <f>#REF!</f>
        <v>#REF!</v>
      </c>
      <c r="E39" s="35">
        <f>'2013 PROFIT &amp; LOSSES'!AQ74</f>
        <v>1552700.87</v>
      </c>
      <c r="F39" s="35" t="e">
        <f>E39-D39</f>
        <v>#REF!</v>
      </c>
      <c r="G39" s="21">
        <f>E39/C39</f>
        <v>0.4546708257686677</v>
      </c>
      <c r="H39" s="8"/>
      <c r="I39" s="9"/>
      <c r="J39" s="16"/>
    </row>
    <row r="40" spans="1:9" ht="15" customHeight="1">
      <c r="A40" s="26" t="s">
        <v>24</v>
      </c>
      <c r="B40" s="36">
        <v>7000000</v>
      </c>
      <c r="C40" s="36">
        <v>1550000</v>
      </c>
      <c r="D40" s="37">
        <v>0</v>
      </c>
      <c r="E40" s="35">
        <v>0</v>
      </c>
      <c r="F40" s="35">
        <f t="shared" si="3"/>
        <v>0</v>
      </c>
      <c r="G40" s="28"/>
      <c r="H40" s="3"/>
      <c r="I40" s="7"/>
    </row>
    <row r="41" spans="1:9" ht="15" customHeight="1">
      <c r="A41" s="27"/>
      <c r="B41" s="38"/>
      <c r="C41" s="38"/>
      <c r="D41" s="39"/>
      <c r="E41" s="39"/>
      <c r="F41" s="39"/>
      <c r="G41" s="30"/>
      <c r="H41" s="3"/>
      <c r="I41" s="7"/>
    </row>
    <row r="42" spans="1:10" s="10" customFormat="1" ht="18" customHeight="1">
      <c r="A42" s="18" t="s">
        <v>27</v>
      </c>
      <c r="B42" s="40">
        <f>SUM(B27:B40)</f>
        <v>58013403</v>
      </c>
      <c r="C42" s="40">
        <f>SUM(C27:C40)</f>
        <v>52841725</v>
      </c>
      <c r="D42" s="41" t="e">
        <f>SUM(D27:D40)</f>
        <v>#REF!</v>
      </c>
      <c r="E42" s="41">
        <f>SUM(E27:E40)</f>
        <v>36976598.47799999</v>
      </c>
      <c r="F42" s="41" t="e">
        <f>SUM(F27:F40)</f>
        <v>#REF!</v>
      </c>
      <c r="G42" s="29">
        <f>E42/C42</f>
        <v>0.6997613813326494</v>
      </c>
      <c r="J42" s="16"/>
    </row>
    <row r="43" spans="2:6" ht="12.75">
      <c r="B43" s="46"/>
      <c r="C43" s="46"/>
      <c r="D43" s="46"/>
      <c r="E43" s="46"/>
      <c r="F43" s="46"/>
    </row>
    <row r="44" spans="2:6" ht="12.75">
      <c r="B44" s="46"/>
      <c r="C44" s="46"/>
      <c r="D44" s="46"/>
      <c r="E44" s="46"/>
      <c r="F44" s="46"/>
    </row>
    <row r="45" spans="2:6" ht="12.75">
      <c r="B45" s="46"/>
      <c r="C45" s="46"/>
      <c r="D45" s="46"/>
      <c r="E45" s="46"/>
      <c r="F45" s="46"/>
    </row>
    <row r="46" spans="2:6" ht="12.75">
      <c r="B46" s="46"/>
      <c r="C46" s="46"/>
      <c r="D46" s="46"/>
      <c r="E46" s="46"/>
      <c r="F46" s="46"/>
    </row>
    <row r="47" spans="2:6" ht="12.75">
      <c r="B47" s="46"/>
      <c r="C47" s="46"/>
      <c r="D47" s="46"/>
      <c r="E47" s="46"/>
      <c r="F47" s="46"/>
    </row>
    <row r="48" spans="2:6" ht="12.75">
      <c r="B48" s="46"/>
      <c r="C48" s="46"/>
      <c r="D48" s="46"/>
      <c r="E48" s="46"/>
      <c r="F48" s="46"/>
    </row>
    <row r="49" spans="2:8" ht="12.75">
      <c r="B49" s="46"/>
      <c r="C49" s="46"/>
      <c r="D49" s="46"/>
      <c r="E49" s="46"/>
      <c r="F49" s="46"/>
      <c r="H49" s="33"/>
    </row>
    <row r="50" spans="2:8" ht="12.75">
      <c r="B50" s="46"/>
      <c r="C50" s="46"/>
      <c r="D50" s="46"/>
      <c r="E50" s="46"/>
      <c r="F50" s="46"/>
      <c r="H50" s="33"/>
    </row>
    <row r="51" spans="2:8" ht="12.75">
      <c r="B51" s="46"/>
      <c r="C51" s="46"/>
      <c r="D51" s="46"/>
      <c r="E51" s="46"/>
      <c r="F51" s="46"/>
      <c r="H51" s="33"/>
    </row>
  </sheetData>
  <sheetProtection/>
  <mergeCells count="14">
    <mergeCell ref="A24:A26"/>
    <mergeCell ref="B24:B26"/>
    <mergeCell ref="C24:C26"/>
    <mergeCell ref="F24:F26"/>
    <mergeCell ref="G24:G26"/>
    <mergeCell ref="D25:D26"/>
    <mergeCell ref="E25:E26"/>
    <mergeCell ref="A1:A3"/>
    <mergeCell ref="B1:B3"/>
    <mergeCell ref="C1:C3"/>
    <mergeCell ref="F1:F3"/>
    <mergeCell ref="G1:G3"/>
    <mergeCell ref="D2:D3"/>
    <mergeCell ref="E2:E3"/>
  </mergeCells>
  <printOptions horizontalCentered="1" verticalCentered="1"/>
  <pageMargins left="0.5" right="0.5" top="1" bottom="0.5" header="0.25" footer="0.3"/>
  <pageSetup fitToHeight="1" fitToWidth="1" horizontalDpi="300" verticalDpi="300" orientation="landscape" scale="87" r:id="rId1"/>
  <headerFooter>
    <oddHeader>&amp;C&amp;"-,Bold"&amp;12Forest Preserve District of Cook County
Corporate Fund Analysis of Revenue and Expense
As of November 30 , 2013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145" zoomScaleNormal="145" zoomScalePageLayoutView="0" workbookViewId="0" topLeftCell="A9">
      <selection activeCell="A28" sqref="A28"/>
    </sheetView>
  </sheetViews>
  <sheetFormatPr defaultColWidth="12.421875" defaultRowHeight="15"/>
  <cols>
    <col min="1" max="1" width="26.7109375" style="5" customWidth="1"/>
    <col min="2" max="3" width="13.7109375" style="5" customWidth="1"/>
    <col min="4" max="6" width="20.7109375" style="5" customWidth="1"/>
    <col min="7" max="7" width="14.28125" style="5" customWidth="1"/>
    <col min="8" max="8" width="14.421875" style="5" customWidth="1"/>
    <col min="9" max="10" width="15.28125" style="5" customWidth="1"/>
    <col min="11" max="11" width="13.57421875" style="5" customWidth="1"/>
    <col min="12" max="12" width="15.28125" style="5" customWidth="1"/>
    <col min="13" max="13" width="15.421875" style="5" customWidth="1"/>
    <col min="14" max="14" width="8.00390625" style="5" customWidth="1"/>
    <col min="15" max="15" width="18.57421875" style="5" customWidth="1"/>
    <col min="16" max="16" width="13.7109375" style="5" customWidth="1"/>
    <col min="17" max="18" width="12.421875" style="5" customWidth="1"/>
    <col min="19" max="19" width="11.57421875" style="5" customWidth="1"/>
    <col min="20" max="16384" width="12.421875" style="5" customWidth="1"/>
  </cols>
  <sheetData>
    <row r="1" spans="1:11" ht="15" customHeight="1">
      <c r="A1" s="108" t="s">
        <v>0</v>
      </c>
      <c r="B1" s="114" t="s">
        <v>34</v>
      </c>
      <c r="C1" s="114" t="s">
        <v>88</v>
      </c>
      <c r="D1" s="19">
        <v>41183</v>
      </c>
      <c r="E1" s="19">
        <v>41548</v>
      </c>
      <c r="F1" s="110" t="s">
        <v>28</v>
      </c>
      <c r="G1" s="112" t="s">
        <v>29</v>
      </c>
      <c r="H1" s="6"/>
      <c r="I1" s="6"/>
      <c r="J1" s="6"/>
      <c r="K1" s="6"/>
    </row>
    <row r="2" spans="1:11" ht="15" customHeight="1">
      <c r="A2" s="108"/>
      <c r="B2" s="115" t="s">
        <v>25</v>
      </c>
      <c r="C2" s="115" t="s">
        <v>25</v>
      </c>
      <c r="D2" s="110" t="s">
        <v>26</v>
      </c>
      <c r="E2" s="110" t="s">
        <v>26</v>
      </c>
      <c r="F2" s="110"/>
      <c r="G2" s="112"/>
      <c r="H2" s="11"/>
      <c r="I2" s="11"/>
      <c r="J2" s="6"/>
      <c r="K2" s="11"/>
    </row>
    <row r="3" spans="1:11" ht="15" customHeight="1">
      <c r="A3" s="108"/>
      <c r="B3" s="106"/>
      <c r="C3" s="106"/>
      <c r="D3" s="110"/>
      <c r="E3" s="110"/>
      <c r="F3" s="110"/>
      <c r="G3" s="112"/>
      <c r="H3" s="11"/>
      <c r="I3" s="11"/>
      <c r="J3" s="11"/>
      <c r="K3" s="11"/>
    </row>
    <row r="4" spans="1:11" ht="15" customHeight="1">
      <c r="A4" s="20" t="s">
        <v>30</v>
      </c>
      <c r="B4" s="34">
        <f>41363334-1568167</f>
        <v>39795167</v>
      </c>
      <c r="C4" s="34">
        <f>46708559-1401257</f>
        <v>45307302</v>
      </c>
      <c r="D4" s="35" t="e">
        <f>#REF!</f>
        <v>#REF!</v>
      </c>
      <c r="E4" s="35">
        <f>'2013 PROFIT &amp; LOSSES'!AM5</f>
        <v>39095724.839999996</v>
      </c>
      <c r="F4" s="35" t="e">
        <f>E4-D4</f>
        <v>#REF!</v>
      </c>
      <c r="G4" s="42">
        <f>E4/C4</f>
        <v>0.862901190629272</v>
      </c>
      <c r="H4" s="12"/>
      <c r="I4" s="12"/>
      <c r="J4" s="8"/>
      <c r="K4" s="12"/>
    </row>
    <row r="5" spans="1:11" ht="15" customHeight="1">
      <c r="A5" s="20" t="s">
        <v>31</v>
      </c>
      <c r="B5" s="34">
        <v>5200000</v>
      </c>
      <c r="C5" s="34">
        <v>834100</v>
      </c>
      <c r="D5" s="35" t="e">
        <f>#REF!</f>
        <v>#REF!</v>
      </c>
      <c r="E5" s="35">
        <f>'2013 PROFIT &amp; LOSSES'!AM8</f>
        <v>2072908.85</v>
      </c>
      <c r="F5" s="35" t="e">
        <f aca="true" t="shared" si="0" ref="F5:F19">E5-D5</f>
        <v>#REF!</v>
      </c>
      <c r="G5" s="42">
        <f aca="true" t="shared" si="1" ref="G5:G18">E5/C5</f>
        <v>2.485204232106462</v>
      </c>
      <c r="H5" s="12"/>
      <c r="I5" s="32"/>
      <c r="J5" s="32"/>
      <c r="K5" s="12"/>
    </row>
    <row r="6" spans="1:11" ht="15" customHeight="1">
      <c r="A6" s="20" t="s">
        <v>1</v>
      </c>
      <c r="B6" s="34">
        <v>900000</v>
      </c>
      <c r="C6" s="34">
        <v>990000</v>
      </c>
      <c r="D6" s="35" t="e">
        <f>#REF!</f>
        <v>#REF!</v>
      </c>
      <c r="E6" s="35">
        <f>'2013 PROFIT &amp; LOSSES'!AM11</f>
        <v>415024.14</v>
      </c>
      <c r="F6" s="35" t="e">
        <f t="shared" si="0"/>
        <v>#REF!</v>
      </c>
      <c r="G6" s="42">
        <f t="shared" si="1"/>
        <v>0.41921630303030305</v>
      </c>
      <c r="H6" s="12"/>
      <c r="I6" s="31"/>
      <c r="J6" s="31"/>
      <c r="K6" s="12"/>
    </row>
    <row r="7" spans="1:11" ht="15" customHeight="1">
      <c r="A7" s="20" t="s">
        <v>2</v>
      </c>
      <c r="B7" s="34">
        <v>150000</v>
      </c>
      <c r="C7" s="34">
        <v>200000</v>
      </c>
      <c r="D7" s="35" t="e">
        <f>#REF!</f>
        <v>#REF!</v>
      </c>
      <c r="E7" s="35">
        <f>'2013 PROFIT &amp; LOSSES'!AM14</f>
        <v>164968.38</v>
      </c>
      <c r="F7" s="35" t="e">
        <f>E7-D7</f>
        <v>#REF!</v>
      </c>
      <c r="G7" s="42">
        <f t="shared" si="1"/>
        <v>0.8248419</v>
      </c>
      <c r="H7" s="12"/>
      <c r="I7" s="12"/>
      <c r="J7" s="8"/>
      <c r="K7" s="12"/>
    </row>
    <row r="8" spans="1:11" ht="15" customHeight="1">
      <c r="A8" s="20" t="s">
        <v>3</v>
      </c>
      <c r="B8" s="34">
        <v>1751670</v>
      </c>
      <c r="C8" s="34">
        <f>1165700+234300</f>
        <v>1400000</v>
      </c>
      <c r="D8" s="35" t="e">
        <f>#REF!</f>
        <v>#REF!</v>
      </c>
      <c r="E8" s="35">
        <f>'2013 PROFIT &amp; LOSSES'!AM16</f>
        <v>1207676.01</v>
      </c>
      <c r="F8" s="35" t="e">
        <f>E8-D8</f>
        <v>#REF!</v>
      </c>
      <c r="G8" s="42">
        <f t="shared" si="1"/>
        <v>0.8626257214285714</v>
      </c>
      <c r="H8" s="12"/>
      <c r="I8" s="12"/>
      <c r="J8" s="8"/>
      <c r="K8" s="12"/>
    </row>
    <row r="9" spans="1:11" ht="15" customHeight="1">
      <c r="A9" s="20" t="s">
        <v>4</v>
      </c>
      <c r="B9" s="34">
        <v>250000</v>
      </c>
      <c r="C9" s="34">
        <v>250000</v>
      </c>
      <c r="D9" s="35" t="e">
        <f>#REF!</f>
        <v>#REF!</v>
      </c>
      <c r="E9" s="35">
        <f>'2013 PROFIT &amp; LOSSES'!AM15</f>
        <v>283830.49</v>
      </c>
      <c r="F9" s="35" t="e">
        <f t="shared" si="0"/>
        <v>#REF!</v>
      </c>
      <c r="G9" s="42">
        <f t="shared" si="1"/>
        <v>1.13532196</v>
      </c>
      <c r="H9" s="12"/>
      <c r="I9" s="12"/>
      <c r="J9" s="8"/>
      <c r="K9" s="12"/>
    </row>
    <row r="10" spans="1:12" ht="15" customHeight="1">
      <c r="A10" s="20" t="s">
        <v>5</v>
      </c>
      <c r="B10" s="34">
        <v>25000</v>
      </c>
      <c r="C10" s="34">
        <v>15000</v>
      </c>
      <c r="D10" s="35" t="e">
        <f>#REF!</f>
        <v>#REF!</v>
      </c>
      <c r="E10" s="35">
        <f>'2013 PROFIT &amp; LOSSES'!AM17</f>
        <v>5450</v>
      </c>
      <c r="F10" s="35" t="e">
        <f t="shared" si="0"/>
        <v>#REF!</v>
      </c>
      <c r="G10" s="42">
        <f t="shared" si="1"/>
        <v>0.36333333333333334</v>
      </c>
      <c r="H10" s="12"/>
      <c r="I10" s="12"/>
      <c r="J10" s="8"/>
      <c r="K10" s="12"/>
      <c r="L10" s="4"/>
    </row>
    <row r="11" spans="1:11" ht="15" customHeight="1">
      <c r="A11" s="20" t="s">
        <v>6</v>
      </c>
      <c r="B11" s="34">
        <v>35000</v>
      </c>
      <c r="C11" s="34">
        <v>40000</v>
      </c>
      <c r="D11" s="35" t="e">
        <f>#REF!</f>
        <v>#REF!</v>
      </c>
      <c r="E11" s="35">
        <f>'2013 PROFIT &amp; LOSSES'!AM19</f>
        <v>52251</v>
      </c>
      <c r="F11" s="35" t="e">
        <f t="shared" si="0"/>
        <v>#REF!</v>
      </c>
      <c r="G11" s="42">
        <f t="shared" si="1"/>
        <v>1.306275</v>
      </c>
      <c r="H11" s="12"/>
      <c r="I11" s="12"/>
      <c r="J11" s="8"/>
      <c r="K11" s="12"/>
    </row>
    <row r="12" spans="1:11" ht="15" customHeight="1">
      <c r="A12" s="20" t="s">
        <v>7</v>
      </c>
      <c r="B12" s="34">
        <v>50000</v>
      </c>
      <c r="C12" s="34">
        <v>100000</v>
      </c>
      <c r="D12" s="35" t="e">
        <f>#REF!</f>
        <v>#REF!</v>
      </c>
      <c r="E12" s="35">
        <f>'2013 PROFIT &amp; LOSSES'!AM20</f>
        <v>125486.11</v>
      </c>
      <c r="F12" s="35" t="e">
        <f t="shared" si="0"/>
        <v>#REF!</v>
      </c>
      <c r="G12" s="42">
        <f t="shared" si="1"/>
        <v>1.2548611</v>
      </c>
      <c r="H12" s="12"/>
      <c r="I12" s="12"/>
      <c r="J12" s="8"/>
      <c r="K12" s="12"/>
    </row>
    <row r="13" spans="1:12" ht="15" customHeight="1">
      <c r="A13" s="20" t="s">
        <v>8</v>
      </c>
      <c r="B13" s="34">
        <v>850000</v>
      </c>
      <c r="C13" s="34">
        <v>890000</v>
      </c>
      <c r="D13" s="35" t="e">
        <f>#REF!</f>
        <v>#REF!</v>
      </c>
      <c r="E13" s="35">
        <f>'2013 PROFIT &amp; LOSSES'!AM12</f>
        <v>1041940.6699999999</v>
      </c>
      <c r="F13" s="35" t="e">
        <f t="shared" si="0"/>
        <v>#REF!</v>
      </c>
      <c r="G13" s="42">
        <f t="shared" si="1"/>
        <v>1.1707198539325843</v>
      </c>
      <c r="H13" s="12"/>
      <c r="I13" s="12"/>
      <c r="J13" s="8"/>
      <c r="K13" s="12"/>
      <c r="L13" s="4"/>
    </row>
    <row r="14" spans="1:11" ht="15" customHeight="1">
      <c r="A14" s="20" t="s">
        <v>9</v>
      </c>
      <c r="B14" s="34">
        <v>250000</v>
      </c>
      <c r="C14" s="34">
        <v>400000</v>
      </c>
      <c r="D14" s="35" t="e">
        <f>#REF!</f>
        <v>#REF!</v>
      </c>
      <c r="E14" s="35">
        <f>'2013 PROFIT &amp; LOSSES'!AM13</f>
        <v>417032.59</v>
      </c>
      <c r="F14" s="35" t="e">
        <f t="shared" si="0"/>
        <v>#REF!</v>
      </c>
      <c r="G14" s="42">
        <f t="shared" si="1"/>
        <v>1.042581475</v>
      </c>
      <c r="H14" s="12"/>
      <c r="I14" s="12"/>
      <c r="J14" s="8"/>
      <c r="K14" s="12"/>
    </row>
    <row r="15" spans="1:11" ht="15" customHeight="1">
      <c r="A15" s="20" t="s">
        <v>10</v>
      </c>
      <c r="B15" s="34">
        <v>175000</v>
      </c>
      <c r="C15" s="34">
        <v>320000</v>
      </c>
      <c r="D15" s="35" t="e">
        <f>#REF!</f>
        <v>#REF!</v>
      </c>
      <c r="E15" s="35">
        <f>'2013 PROFIT &amp; LOSSES'!AM18</f>
        <v>318229.09</v>
      </c>
      <c r="F15" s="35" t="e">
        <f t="shared" si="0"/>
        <v>#REF!</v>
      </c>
      <c r="G15" s="42">
        <f t="shared" si="1"/>
        <v>0.9944659062500001</v>
      </c>
      <c r="H15" s="12"/>
      <c r="I15" s="12"/>
      <c r="J15" s="8"/>
      <c r="K15" s="12"/>
    </row>
    <row r="16" spans="1:11" ht="12.75">
      <c r="A16" s="20" t="s">
        <v>11</v>
      </c>
      <c r="B16" s="34">
        <v>50000</v>
      </c>
      <c r="C16" s="34">
        <v>150000</v>
      </c>
      <c r="D16" s="35" t="e">
        <f>#REF!</f>
        <v>#REF!</v>
      </c>
      <c r="E16" s="35">
        <f>'2013 PROFIT &amp; LOSSES'!AM21</f>
        <v>28112.99</v>
      </c>
      <c r="F16" s="35" t="e">
        <f t="shared" si="0"/>
        <v>#REF!</v>
      </c>
      <c r="G16" s="42">
        <f t="shared" si="1"/>
        <v>0.18741993333333334</v>
      </c>
      <c r="H16" s="12"/>
      <c r="I16" s="12"/>
      <c r="J16" s="8"/>
      <c r="K16" s="12"/>
    </row>
    <row r="17" spans="1:11" ht="15" customHeight="1" hidden="1">
      <c r="A17" s="20" t="s">
        <v>12</v>
      </c>
      <c r="B17" s="34"/>
      <c r="C17" s="34"/>
      <c r="D17" s="35" t="e">
        <f>#REF!</f>
        <v>#REF!</v>
      </c>
      <c r="E17" s="35">
        <v>0</v>
      </c>
      <c r="F17" s="35" t="e">
        <f t="shared" si="0"/>
        <v>#REF!</v>
      </c>
      <c r="G17" s="42" t="e">
        <f t="shared" si="1"/>
        <v>#DIV/0!</v>
      </c>
      <c r="H17" s="12"/>
      <c r="I17" s="12"/>
      <c r="J17" s="8"/>
      <c r="K17" s="12"/>
    </row>
    <row r="18" spans="1:11" ht="12.75" customHeight="1" hidden="1">
      <c r="A18" s="20"/>
      <c r="B18" s="34"/>
      <c r="C18" s="34"/>
      <c r="D18" s="35" t="e">
        <f>#REF!</f>
        <v>#REF!</v>
      </c>
      <c r="E18" s="35">
        <v>0</v>
      </c>
      <c r="F18" s="35" t="e">
        <f t="shared" si="0"/>
        <v>#REF!</v>
      </c>
      <c r="G18" s="42" t="e">
        <f t="shared" si="1"/>
        <v>#DIV/0!</v>
      </c>
      <c r="H18" s="2"/>
      <c r="I18" s="2"/>
      <c r="J18" s="3"/>
      <c r="K18" s="2"/>
    </row>
    <row r="19" spans="1:11" ht="15" customHeight="1">
      <c r="A19" s="26" t="s">
        <v>13</v>
      </c>
      <c r="B19" s="36">
        <v>8531566</v>
      </c>
      <c r="C19" s="36">
        <v>1945323</v>
      </c>
      <c r="D19" s="35">
        <v>0</v>
      </c>
      <c r="E19" s="37">
        <v>0</v>
      </c>
      <c r="F19" s="37">
        <f t="shared" si="0"/>
        <v>0</v>
      </c>
      <c r="G19" s="43"/>
      <c r="H19" s="12"/>
      <c r="I19" s="12"/>
      <c r="J19" s="8"/>
      <c r="K19" s="12"/>
    </row>
    <row r="20" spans="1:11" ht="15" customHeight="1">
      <c r="A20" s="27"/>
      <c r="B20" s="38"/>
      <c r="C20" s="38"/>
      <c r="D20" s="39"/>
      <c r="E20" s="39"/>
      <c r="F20" s="39"/>
      <c r="G20" s="44"/>
      <c r="H20" s="12"/>
      <c r="I20" s="12"/>
      <c r="J20" s="8"/>
      <c r="K20" s="12"/>
    </row>
    <row r="21" spans="1:14" s="10" customFormat="1" ht="18" customHeight="1">
      <c r="A21" s="18" t="s">
        <v>27</v>
      </c>
      <c r="B21" s="40">
        <f>SUM(B4:B19)</f>
        <v>58013403</v>
      </c>
      <c r="C21" s="40">
        <f>SUM(C4:C19)</f>
        <v>52841725</v>
      </c>
      <c r="D21" s="41" t="e">
        <f>D19+D16+D15+D14+D13+D12+D11+D10+D9+D8+D7+D6+D5+D4</f>
        <v>#REF!</v>
      </c>
      <c r="E21" s="41">
        <f>SUM(E4:E19)</f>
        <v>45228635.16000001</v>
      </c>
      <c r="F21" s="41" t="e">
        <f>SUM(F4:F19)</f>
        <v>#REF!</v>
      </c>
      <c r="G21" s="45">
        <f>E21/C21</f>
        <v>0.8559265459255921</v>
      </c>
      <c r="H21" s="12"/>
      <c r="I21" s="12">
        <f>E21-20900004.28</f>
        <v>24328630.88000001</v>
      </c>
      <c r="J21" s="8"/>
      <c r="K21" s="12"/>
      <c r="L21" s="8"/>
      <c r="N21" s="17"/>
    </row>
    <row r="22" spans="1:11" ht="12" customHeight="1">
      <c r="A22" s="1"/>
      <c r="B22" s="4"/>
      <c r="C22" s="4"/>
      <c r="D22" s="4"/>
      <c r="E22" s="4"/>
      <c r="F22" s="13"/>
      <c r="G22" s="13"/>
      <c r="H22" s="2"/>
      <c r="I22" s="2"/>
      <c r="J22" s="3"/>
      <c r="K22" s="2"/>
    </row>
    <row r="23" spans="1:10" ht="12" customHeight="1">
      <c r="A23" s="22"/>
      <c r="B23" s="23"/>
      <c r="C23" s="22"/>
      <c r="D23" s="92"/>
      <c r="E23" s="23"/>
      <c r="F23" s="24"/>
      <c r="G23" s="25"/>
      <c r="H23" s="14"/>
      <c r="I23" s="14"/>
      <c r="J23" s="14"/>
    </row>
    <row r="24" spans="1:9" ht="15" customHeight="1">
      <c r="A24" s="106" t="s">
        <v>14</v>
      </c>
      <c r="B24" s="106" t="s">
        <v>34</v>
      </c>
      <c r="C24" s="106" t="s">
        <v>88</v>
      </c>
      <c r="D24" s="19">
        <v>41183</v>
      </c>
      <c r="E24" s="19">
        <v>41548</v>
      </c>
      <c r="F24" s="109" t="s">
        <v>28</v>
      </c>
      <c r="G24" s="111" t="s">
        <v>29</v>
      </c>
      <c r="H24" s="6"/>
      <c r="I24" s="6"/>
    </row>
    <row r="25" spans="1:9" ht="15" customHeight="1">
      <c r="A25" s="107"/>
      <c r="B25" s="108"/>
      <c r="C25" s="108"/>
      <c r="D25" s="113" t="s">
        <v>26</v>
      </c>
      <c r="E25" s="110" t="s">
        <v>26</v>
      </c>
      <c r="F25" s="110"/>
      <c r="G25" s="112"/>
      <c r="H25" s="90"/>
      <c r="I25" s="11"/>
    </row>
    <row r="26" spans="1:10" ht="15" customHeight="1">
      <c r="A26" s="107"/>
      <c r="B26" s="108"/>
      <c r="C26" s="108"/>
      <c r="D26" s="109"/>
      <c r="E26" s="110"/>
      <c r="F26" s="110"/>
      <c r="G26" s="112"/>
      <c r="H26" s="11"/>
      <c r="I26" s="11"/>
      <c r="J26" s="15"/>
    </row>
    <row r="27" spans="1:10" ht="15" customHeight="1">
      <c r="A27" s="20" t="s">
        <v>15</v>
      </c>
      <c r="B27" s="34">
        <v>2100290</v>
      </c>
      <c r="C27" s="34">
        <v>1884258</v>
      </c>
      <c r="D27" s="35" t="e">
        <f>#REF!</f>
        <v>#REF!</v>
      </c>
      <c r="E27" s="35">
        <f>'2013 PROFIT &amp; LOSSES'!AM28</f>
        <v>1485155.95</v>
      </c>
      <c r="F27" s="35" t="e">
        <f>E27-D27</f>
        <v>#REF!</v>
      </c>
      <c r="G27" s="21">
        <f>E27/C27</f>
        <v>0.7881913994792645</v>
      </c>
      <c r="H27" s="8"/>
      <c r="I27" s="12"/>
      <c r="J27" s="15"/>
    </row>
    <row r="28" spans="1:10" ht="15" customHeight="1">
      <c r="A28" s="20" t="s">
        <v>16</v>
      </c>
      <c r="B28" s="34">
        <v>1787221</v>
      </c>
      <c r="C28" s="34">
        <v>2054581</v>
      </c>
      <c r="D28" s="35" t="e">
        <f>#REF!</f>
        <v>#REF!</v>
      </c>
      <c r="E28" s="35">
        <f>'2013 PROFIT &amp; LOSSES'!AM32</f>
        <v>1293139.4</v>
      </c>
      <c r="F28" s="35" t="e">
        <f>E28-D28</f>
        <v>#REF!</v>
      </c>
      <c r="G28" s="21">
        <f aca="true" t="shared" si="2" ref="G28:G38">E28/C28</f>
        <v>0.6293932436832619</v>
      </c>
      <c r="H28" s="8"/>
      <c r="I28" s="9"/>
      <c r="J28" s="15"/>
    </row>
    <row r="29" spans="1:10" ht="15" customHeight="1">
      <c r="A29" s="20" t="s">
        <v>87</v>
      </c>
      <c r="B29" s="34">
        <v>696162</v>
      </c>
      <c r="C29" s="34">
        <v>585246</v>
      </c>
      <c r="D29" s="35" t="e">
        <f>#REF!</f>
        <v>#REF!</v>
      </c>
      <c r="E29" s="35">
        <f>'2013 PROFIT &amp; LOSSES'!AM36</f>
        <v>357377.35</v>
      </c>
      <c r="F29" s="35" t="e">
        <f aca="true" t="shared" si="3" ref="F29:F40">E29-D29</f>
        <v>#REF!</v>
      </c>
      <c r="G29" s="21">
        <f t="shared" si="2"/>
        <v>0.6106446690793272</v>
      </c>
      <c r="H29" s="8"/>
      <c r="I29" s="9"/>
      <c r="J29" s="15"/>
    </row>
    <row r="30" spans="1:10" ht="15" customHeight="1">
      <c r="A30" s="20" t="s">
        <v>17</v>
      </c>
      <c r="B30" s="34">
        <v>7986645</v>
      </c>
      <c r="C30" s="34">
        <v>7653505</v>
      </c>
      <c r="D30" s="35" t="e">
        <f>#REF!</f>
        <v>#REF!</v>
      </c>
      <c r="E30" s="35">
        <f>'2013 PROFIT &amp; LOSSES'!AM40</f>
        <v>5361050.3</v>
      </c>
      <c r="F30" s="35" t="e">
        <f t="shared" si="3"/>
        <v>#REF!</v>
      </c>
      <c r="G30" s="21">
        <f t="shared" si="2"/>
        <v>0.700469954615565</v>
      </c>
      <c r="H30" s="8"/>
      <c r="I30" s="9"/>
      <c r="J30" s="15"/>
    </row>
    <row r="31" spans="1:10" ht="15" customHeight="1">
      <c r="A31" s="20" t="s">
        <v>18</v>
      </c>
      <c r="B31" s="34">
        <v>20027575</v>
      </c>
      <c r="C31" s="34">
        <v>0</v>
      </c>
      <c r="D31" s="35" t="e">
        <f>#REF!</f>
        <v>#REF!</v>
      </c>
      <c r="E31" s="35">
        <v>0</v>
      </c>
      <c r="F31" s="35" t="e">
        <f>E31-D31</f>
        <v>#REF!</v>
      </c>
      <c r="G31" s="21">
        <v>0</v>
      </c>
      <c r="H31" s="8"/>
      <c r="I31" s="9"/>
      <c r="J31" s="15"/>
    </row>
    <row r="32" spans="1:10" ht="15" customHeight="1">
      <c r="A32" s="20" t="s">
        <v>93</v>
      </c>
      <c r="B32" s="34">
        <v>0</v>
      </c>
      <c r="C32" s="34">
        <v>10504913</v>
      </c>
      <c r="D32" s="35">
        <v>0</v>
      </c>
      <c r="E32" s="35">
        <f>'2013 PROFIT &amp; LOSSES'!AM48</f>
        <v>7240856.26</v>
      </c>
      <c r="F32" s="35">
        <f>E32-D32</f>
        <v>7240856.26</v>
      </c>
      <c r="G32" s="21">
        <f>E32/C32</f>
        <v>0.6892828393723965</v>
      </c>
      <c r="H32" s="8"/>
      <c r="I32" s="9"/>
      <c r="J32" s="15"/>
    </row>
    <row r="33" spans="1:10" ht="15" customHeight="1">
      <c r="A33" s="20" t="s">
        <v>94</v>
      </c>
      <c r="B33" s="34">
        <v>0</v>
      </c>
      <c r="C33" s="34">
        <f>8611145+592000</f>
        <v>9203145</v>
      </c>
      <c r="D33" s="35">
        <v>0</v>
      </c>
      <c r="E33" s="35">
        <f>'2013 PROFIT &amp; LOSSES'!AM52+'2013 PROFIT &amp; LOSSES'!AM56</f>
        <v>5535998.89</v>
      </c>
      <c r="F33" s="35">
        <f>E33-D33</f>
        <v>5535998.89</v>
      </c>
      <c r="G33" s="21">
        <f>E33/C33</f>
        <v>0.6015333769053948</v>
      </c>
      <c r="H33" s="8"/>
      <c r="I33" s="9"/>
      <c r="J33" s="15"/>
    </row>
    <row r="34" spans="1:10" ht="15" customHeight="1">
      <c r="A34" s="20" t="s">
        <v>19</v>
      </c>
      <c r="B34" s="34">
        <v>200000</v>
      </c>
      <c r="C34" s="34">
        <v>250000</v>
      </c>
      <c r="D34" s="35" t="e">
        <f>#REF!</f>
        <v>#REF!</v>
      </c>
      <c r="E34" s="35">
        <f>'2013 PROFIT &amp; LOSSES'!AM60</f>
        <v>78977.06</v>
      </c>
      <c r="F34" s="35" t="e">
        <f t="shared" si="3"/>
        <v>#REF!</v>
      </c>
      <c r="G34" s="21">
        <f t="shared" si="2"/>
        <v>0.31590824</v>
      </c>
      <c r="H34" s="8"/>
      <c r="I34" s="9"/>
      <c r="J34" s="15"/>
    </row>
    <row r="35" spans="1:10" ht="15" customHeight="1">
      <c r="A35" s="91" t="s">
        <v>35</v>
      </c>
      <c r="B35" s="34">
        <v>2707564</v>
      </c>
      <c r="C35" s="34">
        <v>3046935</v>
      </c>
      <c r="D35" s="35" t="e">
        <f>#REF!</f>
        <v>#REF!</v>
      </c>
      <c r="E35" s="35">
        <f>'2013 PROFIT &amp; LOSSES'!AM44</f>
        <v>1818486.02</v>
      </c>
      <c r="F35" s="35" t="e">
        <f t="shared" si="3"/>
        <v>#REF!</v>
      </c>
      <c r="G35" s="21">
        <f t="shared" si="2"/>
        <v>0.5968246844780082</v>
      </c>
      <c r="H35" s="8"/>
      <c r="I35" s="9"/>
      <c r="J35" s="15"/>
    </row>
    <row r="36" spans="1:10" ht="15" customHeight="1">
      <c r="A36" s="20" t="s">
        <v>20</v>
      </c>
      <c r="B36" s="34">
        <v>9633492</v>
      </c>
      <c r="C36" s="34">
        <v>9514640</v>
      </c>
      <c r="D36" s="35" t="e">
        <f>#REF!</f>
        <v>#REF!</v>
      </c>
      <c r="E36" s="35">
        <f>'2013 PROFIT &amp; LOSSES'!AM62</f>
        <v>6178623.32</v>
      </c>
      <c r="F36" s="35" t="e">
        <f t="shared" si="3"/>
        <v>#REF!</v>
      </c>
      <c r="G36" s="21">
        <f t="shared" si="2"/>
        <v>0.6493806723113014</v>
      </c>
      <c r="H36" s="8"/>
      <c r="I36" s="9"/>
      <c r="J36" s="15"/>
    </row>
    <row r="37" spans="1:10" ht="15" customHeight="1">
      <c r="A37" s="20" t="s">
        <v>21</v>
      </c>
      <c r="B37" s="34">
        <v>1429731</v>
      </c>
      <c r="C37" s="34">
        <v>1365971</v>
      </c>
      <c r="D37" s="35" t="e">
        <f>#REF!</f>
        <v>#REF!</v>
      </c>
      <c r="E37" s="35">
        <f>'2013 PROFIT &amp; LOSSES'!AM66</f>
        <v>915023.65</v>
      </c>
      <c r="F37" s="35" t="e">
        <f t="shared" si="3"/>
        <v>#REF!</v>
      </c>
      <c r="G37" s="21">
        <f t="shared" si="2"/>
        <v>0.6698704804128346</v>
      </c>
      <c r="H37" s="8"/>
      <c r="I37" s="9"/>
      <c r="J37" s="15"/>
    </row>
    <row r="38" spans="1:10" ht="15" customHeight="1">
      <c r="A38" s="20" t="s">
        <v>22</v>
      </c>
      <c r="B38" s="34">
        <v>1735303</v>
      </c>
      <c r="C38" s="34">
        <v>1813531</v>
      </c>
      <c r="D38" s="35" t="e">
        <f>#REF!</f>
        <v>#REF!</v>
      </c>
      <c r="E38" s="35">
        <f>'2013 PROFIT &amp; LOSSES'!AM70</f>
        <v>1310758.35</v>
      </c>
      <c r="F38" s="35" t="e">
        <f t="shared" si="3"/>
        <v>#REF!</v>
      </c>
      <c r="G38" s="21">
        <f t="shared" si="2"/>
        <v>0.7227658915121936</v>
      </c>
      <c r="H38" s="8"/>
      <c r="I38" s="9"/>
      <c r="J38" s="16"/>
    </row>
    <row r="39" spans="1:10" ht="15" customHeight="1">
      <c r="A39" s="20" t="s">
        <v>23</v>
      </c>
      <c r="B39" s="34">
        <v>2709420</v>
      </c>
      <c r="C39" s="34">
        <v>3415000</v>
      </c>
      <c r="D39" s="35" t="e">
        <f>#REF!</f>
        <v>#REF!</v>
      </c>
      <c r="E39" s="35">
        <f>'2013 PROFIT &amp; LOSSES'!AM74</f>
        <v>1482924.99</v>
      </c>
      <c r="F39" s="35" t="e">
        <f>E39-D39</f>
        <v>#REF!</v>
      </c>
      <c r="G39" s="21">
        <f>E39/C39</f>
        <v>0.43423865007320644</v>
      </c>
      <c r="H39" s="8"/>
      <c r="I39" s="9"/>
      <c r="J39" s="16"/>
    </row>
    <row r="40" spans="1:9" ht="15" customHeight="1">
      <c r="A40" s="26" t="s">
        <v>24</v>
      </c>
      <c r="B40" s="36">
        <v>7000000</v>
      </c>
      <c r="C40" s="36">
        <v>1550000</v>
      </c>
      <c r="D40" s="37">
        <v>0</v>
      </c>
      <c r="E40" s="35">
        <v>0</v>
      </c>
      <c r="F40" s="35">
        <f t="shared" si="3"/>
        <v>0</v>
      </c>
      <c r="G40" s="28"/>
      <c r="H40" s="3"/>
      <c r="I40" s="7"/>
    </row>
    <row r="41" spans="1:9" ht="15" customHeight="1">
      <c r="A41" s="27"/>
      <c r="B41" s="38"/>
      <c r="C41" s="38"/>
      <c r="D41" s="39"/>
      <c r="E41" s="39"/>
      <c r="F41" s="39"/>
      <c r="G41" s="30"/>
      <c r="H41" s="3"/>
      <c r="I41" s="7"/>
    </row>
    <row r="42" spans="1:10" s="10" customFormat="1" ht="18" customHeight="1">
      <c r="A42" s="18" t="s">
        <v>27</v>
      </c>
      <c r="B42" s="40">
        <f>SUM(B27:B40)</f>
        <v>58013403</v>
      </c>
      <c r="C42" s="40">
        <f>SUM(C27:C40)</f>
        <v>52841725</v>
      </c>
      <c r="D42" s="41" t="e">
        <f>SUM(D27:D40)</f>
        <v>#REF!</v>
      </c>
      <c r="E42" s="41">
        <f>SUM(E27:E40)</f>
        <v>33058371.539999995</v>
      </c>
      <c r="F42" s="41" t="e">
        <f>SUM(F27:F40)</f>
        <v>#REF!</v>
      </c>
      <c r="G42" s="29">
        <f>E42/C42</f>
        <v>0.625611134761403</v>
      </c>
      <c r="J42" s="16"/>
    </row>
    <row r="43" spans="2:6" ht="12.75">
      <c r="B43" s="46"/>
      <c r="C43" s="46"/>
      <c r="D43" s="46"/>
      <c r="E43" s="46"/>
      <c r="F43" s="46"/>
    </row>
    <row r="44" spans="2:6" ht="12.75">
      <c r="B44" s="46"/>
      <c r="C44" s="46"/>
      <c r="D44" s="46"/>
      <c r="E44" s="46"/>
      <c r="F44" s="46"/>
    </row>
    <row r="45" spans="2:6" ht="12.75">
      <c r="B45" s="46"/>
      <c r="C45" s="46"/>
      <c r="D45" s="46"/>
      <c r="E45" s="46"/>
      <c r="F45" s="46"/>
    </row>
    <row r="46" spans="2:6" ht="12.75">
      <c r="B46" s="46"/>
      <c r="C46" s="46"/>
      <c r="D46" s="46"/>
      <c r="E46" s="46"/>
      <c r="F46" s="46"/>
    </row>
    <row r="47" spans="2:6" ht="12.75">
      <c r="B47" s="46"/>
      <c r="C47" s="46"/>
      <c r="D47" s="46"/>
      <c r="E47" s="46"/>
      <c r="F47" s="46"/>
    </row>
    <row r="48" spans="2:6" ht="12.75">
      <c r="B48" s="46"/>
      <c r="C48" s="46"/>
      <c r="D48" s="46"/>
      <c r="E48" s="46"/>
      <c r="F48" s="46"/>
    </row>
    <row r="49" spans="2:8" ht="12.75">
      <c r="B49" s="46"/>
      <c r="C49" s="46"/>
      <c r="D49" s="46"/>
      <c r="E49" s="46"/>
      <c r="F49" s="46"/>
      <c r="H49" s="33"/>
    </row>
    <row r="50" spans="2:8" ht="12.75">
      <c r="B50" s="46"/>
      <c r="C50" s="46"/>
      <c r="D50" s="46"/>
      <c r="E50" s="46"/>
      <c r="F50" s="46"/>
      <c r="H50" s="33"/>
    </row>
    <row r="51" spans="2:8" ht="12.75">
      <c r="B51" s="46"/>
      <c r="C51" s="46"/>
      <c r="D51" s="46"/>
      <c r="E51" s="46"/>
      <c r="F51" s="46"/>
      <c r="H51" s="33"/>
    </row>
  </sheetData>
  <sheetProtection/>
  <mergeCells count="14">
    <mergeCell ref="A1:A3"/>
    <mergeCell ref="B1:B3"/>
    <mergeCell ref="C1:C3"/>
    <mergeCell ref="F1:F3"/>
    <mergeCell ref="G1:G3"/>
    <mergeCell ref="D2:D3"/>
    <mergeCell ref="E2:E3"/>
    <mergeCell ref="A24:A26"/>
    <mergeCell ref="B24:B26"/>
    <mergeCell ref="C24:C26"/>
    <mergeCell ref="F24:F26"/>
    <mergeCell ref="G24:G26"/>
    <mergeCell ref="D25:D26"/>
    <mergeCell ref="E25:E26"/>
  </mergeCells>
  <printOptions horizontalCentered="1" verticalCentered="1"/>
  <pageMargins left="0.5" right="0.5" top="1" bottom="0.5" header="0.25" footer="0.3"/>
  <pageSetup fitToHeight="1" fitToWidth="1" horizontalDpi="300" verticalDpi="300" orientation="landscape" scale="87" r:id="rId1"/>
  <headerFooter>
    <oddHeader>&amp;C&amp;"-,Bold"&amp;12Forest Preserve District of Cook County
Corporate Fund Analysis of Revenue and Expense
As of October
 31, 2013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145" zoomScaleNormal="145" zoomScalePageLayoutView="0" workbookViewId="0" topLeftCell="A1">
      <selection activeCell="D19" sqref="D19"/>
    </sheetView>
  </sheetViews>
  <sheetFormatPr defaultColWidth="12.421875" defaultRowHeight="15"/>
  <cols>
    <col min="1" max="1" width="26.7109375" style="5" customWidth="1"/>
    <col min="2" max="3" width="13.7109375" style="5" customWidth="1"/>
    <col min="4" max="6" width="20.7109375" style="5" customWidth="1"/>
    <col min="7" max="7" width="14.28125" style="5" customWidth="1"/>
    <col min="8" max="8" width="14.421875" style="5" customWidth="1"/>
    <col min="9" max="10" width="15.28125" style="5" customWidth="1"/>
    <col min="11" max="11" width="13.57421875" style="5" customWidth="1"/>
    <col min="12" max="12" width="15.28125" style="5" customWidth="1"/>
    <col min="13" max="13" width="15.421875" style="5" customWidth="1"/>
    <col min="14" max="14" width="8.00390625" style="5" customWidth="1"/>
    <col min="15" max="15" width="18.57421875" style="5" customWidth="1"/>
    <col min="16" max="16" width="13.7109375" style="5" customWidth="1"/>
    <col min="17" max="18" width="12.421875" style="5" customWidth="1"/>
    <col min="19" max="19" width="11.57421875" style="5" customWidth="1"/>
    <col min="20" max="16384" width="12.421875" style="5" customWidth="1"/>
  </cols>
  <sheetData>
    <row r="1" spans="1:11" ht="15" customHeight="1">
      <c r="A1" s="108" t="s">
        <v>0</v>
      </c>
      <c r="B1" s="114" t="s">
        <v>34</v>
      </c>
      <c r="C1" s="114" t="s">
        <v>88</v>
      </c>
      <c r="D1" s="19">
        <v>41153</v>
      </c>
      <c r="E1" s="19">
        <v>41518</v>
      </c>
      <c r="F1" s="110" t="s">
        <v>28</v>
      </c>
      <c r="G1" s="112" t="s">
        <v>29</v>
      </c>
      <c r="H1" s="6"/>
      <c r="I1" s="6"/>
      <c r="J1" s="6"/>
      <c r="K1" s="6"/>
    </row>
    <row r="2" spans="1:11" ht="15" customHeight="1">
      <c r="A2" s="108"/>
      <c r="B2" s="115" t="s">
        <v>25</v>
      </c>
      <c r="C2" s="115" t="s">
        <v>25</v>
      </c>
      <c r="D2" s="110" t="s">
        <v>26</v>
      </c>
      <c r="E2" s="110" t="s">
        <v>26</v>
      </c>
      <c r="F2" s="110"/>
      <c r="G2" s="112"/>
      <c r="H2" s="11"/>
      <c r="I2" s="11"/>
      <c r="J2" s="6"/>
      <c r="K2" s="11"/>
    </row>
    <row r="3" spans="1:11" ht="15" customHeight="1">
      <c r="A3" s="108"/>
      <c r="B3" s="106"/>
      <c r="C3" s="106"/>
      <c r="D3" s="110"/>
      <c r="E3" s="110"/>
      <c r="F3" s="110"/>
      <c r="G3" s="112"/>
      <c r="H3" s="11"/>
      <c r="I3" s="11"/>
      <c r="J3" s="11"/>
      <c r="K3" s="11"/>
    </row>
    <row r="4" spans="1:11" ht="15" customHeight="1">
      <c r="A4" s="20" t="s">
        <v>30</v>
      </c>
      <c r="B4" s="34">
        <f>41363334-1568167</f>
        <v>39795167</v>
      </c>
      <c r="C4" s="34">
        <f>46708559-1401257</f>
        <v>45307302</v>
      </c>
      <c r="D4" s="35" t="e">
        <f>#REF!</f>
        <v>#REF!</v>
      </c>
      <c r="E4" s="35">
        <f>'2013 PROFIT &amp; LOSSES'!AI5</f>
        <v>38229142.11</v>
      </c>
      <c r="F4" s="35" t="e">
        <f>E4-D4</f>
        <v>#REF!</v>
      </c>
      <c r="G4" s="42">
        <f>E4/C4</f>
        <v>0.8437744121245622</v>
      </c>
      <c r="H4" s="12"/>
      <c r="I4" s="12"/>
      <c r="J4" s="8"/>
      <c r="K4" s="12"/>
    </row>
    <row r="5" spans="1:11" ht="15" customHeight="1">
      <c r="A5" s="20" t="s">
        <v>31</v>
      </c>
      <c r="B5" s="34">
        <v>5200000</v>
      </c>
      <c r="C5" s="34">
        <v>834100</v>
      </c>
      <c r="D5" s="35" t="e">
        <f>#REF!</f>
        <v>#REF!</v>
      </c>
      <c r="E5" s="35">
        <f>'2013 PROFIT &amp; LOSSES'!AI8</f>
        <v>965860.9</v>
      </c>
      <c r="F5" s="35" t="e">
        <f aca="true" t="shared" si="0" ref="F5:F19">E5-D5</f>
        <v>#REF!</v>
      </c>
      <c r="G5" s="42">
        <f aca="true" t="shared" si="1" ref="G5:G18">E5/C5</f>
        <v>1.1579677496703034</v>
      </c>
      <c r="H5" s="12"/>
      <c r="I5" s="32"/>
      <c r="J5" s="32"/>
      <c r="K5" s="12"/>
    </row>
    <row r="6" spans="1:11" ht="15" customHeight="1">
      <c r="A6" s="20" t="s">
        <v>1</v>
      </c>
      <c r="B6" s="34">
        <v>900000</v>
      </c>
      <c r="C6" s="34">
        <v>990000</v>
      </c>
      <c r="D6" s="35" t="e">
        <f>#REF!</f>
        <v>#REF!</v>
      </c>
      <c r="E6" s="35">
        <f>'2013 PROFIT &amp; LOSSES'!AI11</f>
        <v>345079.73</v>
      </c>
      <c r="F6" s="35" t="e">
        <f t="shared" si="0"/>
        <v>#REF!</v>
      </c>
      <c r="G6" s="42">
        <f t="shared" si="1"/>
        <v>0.3485653838383838</v>
      </c>
      <c r="H6" s="12"/>
      <c r="I6" s="31"/>
      <c r="J6" s="31"/>
      <c r="K6" s="12"/>
    </row>
    <row r="7" spans="1:11" ht="15" customHeight="1">
      <c r="A7" s="20" t="s">
        <v>2</v>
      </c>
      <c r="B7" s="34">
        <v>150000</v>
      </c>
      <c r="C7" s="34">
        <v>200000</v>
      </c>
      <c r="D7" s="35" t="e">
        <f>#REF!</f>
        <v>#REF!</v>
      </c>
      <c r="E7" s="35">
        <f>'2013 PROFIT &amp; LOSSES'!AI14</f>
        <v>135063.74</v>
      </c>
      <c r="F7" s="35" t="e">
        <f>E7-D7</f>
        <v>#REF!</v>
      </c>
      <c r="G7" s="42">
        <f t="shared" si="1"/>
        <v>0.6753186999999999</v>
      </c>
      <c r="H7" s="12"/>
      <c r="I7" s="12"/>
      <c r="J7" s="8"/>
      <c r="K7" s="12"/>
    </row>
    <row r="8" spans="1:11" ht="15" customHeight="1">
      <c r="A8" s="20" t="s">
        <v>3</v>
      </c>
      <c r="B8" s="34">
        <v>1751670</v>
      </c>
      <c r="C8" s="34">
        <f>1165700+234300</f>
        <v>1400000</v>
      </c>
      <c r="D8" s="35" t="e">
        <f>#REF!</f>
        <v>#REF!</v>
      </c>
      <c r="E8" s="35">
        <f>'2013 PROFIT &amp; LOSSES'!AI16</f>
        <v>1155026.49</v>
      </c>
      <c r="F8" s="35" t="e">
        <f>E8-D8</f>
        <v>#REF!</v>
      </c>
      <c r="G8" s="42">
        <f t="shared" si="1"/>
        <v>0.8250189214285715</v>
      </c>
      <c r="H8" s="12"/>
      <c r="I8" s="12"/>
      <c r="J8" s="8"/>
      <c r="K8" s="12"/>
    </row>
    <row r="9" spans="1:11" ht="15" customHeight="1">
      <c r="A9" s="20" t="s">
        <v>4</v>
      </c>
      <c r="B9" s="34">
        <v>250000</v>
      </c>
      <c r="C9" s="34">
        <v>250000</v>
      </c>
      <c r="D9" s="35" t="e">
        <f>#REF!</f>
        <v>#REF!</v>
      </c>
      <c r="E9" s="35">
        <f>'2013 PROFIT &amp; LOSSES'!AI15</f>
        <v>254668.71</v>
      </c>
      <c r="F9" s="35" t="e">
        <f t="shared" si="0"/>
        <v>#REF!</v>
      </c>
      <c r="G9" s="42">
        <f t="shared" si="1"/>
        <v>1.0186748399999999</v>
      </c>
      <c r="H9" s="12"/>
      <c r="I9" s="12"/>
      <c r="J9" s="8"/>
      <c r="K9" s="12"/>
    </row>
    <row r="10" spans="1:12" ht="15" customHeight="1">
      <c r="A10" s="20" t="s">
        <v>5</v>
      </c>
      <c r="B10" s="34">
        <v>25000</v>
      </c>
      <c r="C10" s="34">
        <v>15000</v>
      </c>
      <c r="D10" s="35" t="e">
        <f>#REF!</f>
        <v>#REF!</v>
      </c>
      <c r="E10" s="35">
        <f>'2013 PROFIT &amp; LOSSES'!AI17</f>
        <v>5450</v>
      </c>
      <c r="F10" s="35" t="e">
        <f t="shared" si="0"/>
        <v>#REF!</v>
      </c>
      <c r="G10" s="42">
        <f t="shared" si="1"/>
        <v>0.36333333333333334</v>
      </c>
      <c r="H10" s="12"/>
      <c r="I10" s="12"/>
      <c r="J10" s="8"/>
      <c r="K10" s="12"/>
      <c r="L10" s="4"/>
    </row>
    <row r="11" spans="1:11" ht="15" customHeight="1">
      <c r="A11" s="20" t="s">
        <v>6</v>
      </c>
      <c r="B11" s="34">
        <v>35000</v>
      </c>
      <c r="C11" s="34">
        <v>40000</v>
      </c>
      <c r="D11" s="35" t="e">
        <f>#REF!</f>
        <v>#REF!</v>
      </c>
      <c r="E11" s="35">
        <f>'2013 PROFIT &amp; LOSSES'!AI19</f>
        <v>48472</v>
      </c>
      <c r="F11" s="35" t="e">
        <f t="shared" si="0"/>
        <v>#REF!</v>
      </c>
      <c r="G11" s="42">
        <f t="shared" si="1"/>
        <v>1.2118</v>
      </c>
      <c r="H11" s="12"/>
      <c r="I11" s="12"/>
      <c r="J11" s="8"/>
      <c r="K11" s="12"/>
    </row>
    <row r="12" spans="1:11" ht="15" customHeight="1">
      <c r="A12" s="20" t="s">
        <v>7</v>
      </c>
      <c r="B12" s="34">
        <v>50000</v>
      </c>
      <c r="C12" s="34">
        <v>100000</v>
      </c>
      <c r="D12" s="35" t="e">
        <f>#REF!</f>
        <v>#REF!</v>
      </c>
      <c r="E12" s="35">
        <f>'2013 PROFIT &amp; LOSSES'!AI20</f>
        <v>119815.01999999999</v>
      </c>
      <c r="F12" s="35" t="e">
        <f t="shared" si="0"/>
        <v>#REF!</v>
      </c>
      <c r="G12" s="42">
        <f t="shared" si="1"/>
        <v>1.1981502</v>
      </c>
      <c r="H12" s="12"/>
      <c r="I12" s="12"/>
      <c r="J12" s="8"/>
      <c r="K12" s="12"/>
    </row>
    <row r="13" spans="1:12" ht="15" customHeight="1">
      <c r="A13" s="20" t="s">
        <v>8</v>
      </c>
      <c r="B13" s="34">
        <v>850000</v>
      </c>
      <c r="C13" s="34">
        <v>890000</v>
      </c>
      <c r="D13" s="35" t="e">
        <f>#REF!</f>
        <v>#REF!</v>
      </c>
      <c r="E13" s="35">
        <f>'2013 PROFIT &amp; LOSSES'!AI12</f>
        <v>999780.82</v>
      </c>
      <c r="F13" s="35" t="e">
        <f t="shared" si="0"/>
        <v>#REF!</v>
      </c>
      <c r="G13" s="42">
        <f t="shared" si="1"/>
        <v>1.123349235955056</v>
      </c>
      <c r="H13" s="12"/>
      <c r="I13" s="12"/>
      <c r="J13" s="8"/>
      <c r="K13" s="12"/>
      <c r="L13" s="4"/>
    </row>
    <row r="14" spans="1:11" ht="15" customHeight="1">
      <c r="A14" s="20" t="s">
        <v>9</v>
      </c>
      <c r="B14" s="34">
        <v>250000</v>
      </c>
      <c r="C14" s="34">
        <v>400000</v>
      </c>
      <c r="D14" s="35" t="e">
        <f>#REF!</f>
        <v>#REF!</v>
      </c>
      <c r="E14" s="35">
        <f>'2013 PROFIT &amp; LOSSES'!AI13</f>
        <v>417147.85</v>
      </c>
      <c r="F14" s="35" t="e">
        <f t="shared" si="0"/>
        <v>#REF!</v>
      </c>
      <c r="G14" s="42">
        <f t="shared" si="1"/>
        <v>1.042869625</v>
      </c>
      <c r="H14" s="12"/>
      <c r="I14" s="12"/>
      <c r="J14" s="8"/>
      <c r="K14" s="12"/>
    </row>
    <row r="15" spans="1:11" ht="15" customHeight="1">
      <c r="A15" s="20" t="s">
        <v>10</v>
      </c>
      <c r="B15" s="34">
        <v>175000</v>
      </c>
      <c r="C15" s="34">
        <v>320000</v>
      </c>
      <c r="D15" s="35" t="e">
        <f>#REF!</f>
        <v>#REF!</v>
      </c>
      <c r="E15" s="35">
        <f>'2013 PROFIT &amp; LOSSES'!AI18</f>
        <v>240765.4</v>
      </c>
      <c r="F15" s="35" t="e">
        <f t="shared" si="0"/>
        <v>#REF!</v>
      </c>
      <c r="G15" s="42">
        <f t="shared" si="1"/>
        <v>0.7523918749999999</v>
      </c>
      <c r="H15" s="12"/>
      <c r="I15" s="12"/>
      <c r="J15" s="8"/>
      <c r="K15" s="12"/>
    </row>
    <row r="16" spans="1:11" ht="12.75">
      <c r="A16" s="20" t="s">
        <v>11</v>
      </c>
      <c r="B16" s="34">
        <v>50000</v>
      </c>
      <c r="C16" s="34">
        <v>150000</v>
      </c>
      <c r="D16" s="35" t="e">
        <f>#REF!</f>
        <v>#REF!</v>
      </c>
      <c r="E16" s="35">
        <f>'2013 PROFIT &amp; LOSSES'!AI21</f>
        <v>25649.01</v>
      </c>
      <c r="F16" s="35" t="e">
        <f t="shared" si="0"/>
        <v>#REF!</v>
      </c>
      <c r="G16" s="42">
        <f t="shared" si="1"/>
        <v>0.1709934</v>
      </c>
      <c r="H16" s="12"/>
      <c r="I16" s="12"/>
      <c r="J16" s="8"/>
      <c r="K16" s="12"/>
    </row>
    <row r="17" spans="1:11" ht="15" customHeight="1" hidden="1">
      <c r="A17" s="20" t="s">
        <v>12</v>
      </c>
      <c r="B17" s="34"/>
      <c r="C17" s="34"/>
      <c r="D17" s="35" t="e">
        <f>#REF!</f>
        <v>#REF!</v>
      </c>
      <c r="E17" s="35">
        <v>0</v>
      </c>
      <c r="F17" s="35" t="e">
        <f t="shared" si="0"/>
        <v>#REF!</v>
      </c>
      <c r="G17" s="42" t="e">
        <f t="shared" si="1"/>
        <v>#DIV/0!</v>
      </c>
      <c r="H17" s="12"/>
      <c r="I17" s="12"/>
      <c r="J17" s="8"/>
      <c r="K17" s="12"/>
    </row>
    <row r="18" spans="1:11" ht="12.75" customHeight="1" hidden="1">
      <c r="A18" s="20"/>
      <c r="B18" s="34"/>
      <c r="C18" s="34"/>
      <c r="D18" s="35" t="e">
        <f>#REF!</f>
        <v>#REF!</v>
      </c>
      <c r="E18" s="35">
        <v>0</v>
      </c>
      <c r="F18" s="35" t="e">
        <f t="shared" si="0"/>
        <v>#REF!</v>
      </c>
      <c r="G18" s="42" t="e">
        <f t="shared" si="1"/>
        <v>#DIV/0!</v>
      </c>
      <c r="H18" s="2"/>
      <c r="I18" s="2"/>
      <c r="J18" s="3"/>
      <c r="K18" s="2"/>
    </row>
    <row r="19" spans="1:11" ht="15" customHeight="1">
      <c r="A19" s="26" t="s">
        <v>13</v>
      </c>
      <c r="B19" s="36">
        <v>8531566</v>
      </c>
      <c r="C19" s="36">
        <v>1945323</v>
      </c>
      <c r="D19" s="35">
        <v>0</v>
      </c>
      <c r="E19" s="37">
        <v>0</v>
      </c>
      <c r="F19" s="37">
        <f t="shared" si="0"/>
        <v>0</v>
      </c>
      <c r="G19" s="43"/>
      <c r="H19" s="12"/>
      <c r="I19" s="12"/>
      <c r="J19" s="8"/>
      <c r="K19" s="12"/>
    </row>
    <row r="20" spans="1:11" ht="15" customHeight="1">
      <c r="A20" s="27"/>
      <c r="B20" s="38"/>
      <c r="C20" s="38"/>
      <c r="D20" s="39"/>
      <c r="E20" s="39"/>
      <c r="F20" s="39"/>
      <c r="G20" s="44"/>
      <c r="H20" s="12"/>
      <c r="I20" s="12"/>
      <c r="J20" s="8"/>
      <c r="K20" s="12"/>
    </row>
    <row r="21" spans="1:14" s="10" customFormat="1" ht="18" customHeight="1">
      <c r="A21" s="18" t="s">
        <v>27</v>
      </c>
      <c r="B21" s="40">
        <f>SUM(B4:B19)</f>
        <v>58013403</v>
      </c>
      <c r="C21" s="40">
        <f>SUM(C4:C19)</f>
        <v>52841725</v>
      </c>
      <c r="D21" s="41" t="e">
        <f>D19+D16+D15+D14+D13+D12+D11+D10+D9+D8+D7+D6+D5+D4</f>
        <v>#REF!</v>
      </c>
      <c r="E21" s="41">
        <f>SUM(E4:E19)</f>
        <v>42941921.78</v>
      </c>
      <c r="F21" s="41" t="e">
        <f>SUM(F4:F19)</f>
        <v>#REF!</v>
      </c>
      <c r="G21" s="45">
        <f>E21/C21</f>
        <v>0.8126517781166304</v>
      </c>
      <c r="H21" s="12"/>
      <c r="I21" s="12">
        <f>E21-20900004.28</f>
        <v>22041917.5</v>
      </c>
      <c r="J21" s="8"/>
      <c r="K21" s="12"/>
      <c r="L21" s="8"/>
      <c r="N21" s="17"/>
    </row>
    <row r="22" spans="1:11" ht="12" customHeight="1">
      <c r="A22" s="1"/>
      <c r="B22" s="4"/>
      <c r="C22" s="4"/>
      <c r="D22" s="4"/>
      <c r="E22" s="4"/>
      <c r="F22" s="13"/>
      <c r="G22" s="13"/>
      <c r="H22" s="2"/>
      <c r="I22" s="2"/>
      <c r="J22" s="3"/>
      <c r="K22" s="2"/>
    </row>
    <row r="23" spans="1:10" ht="12" customHeight="1">
      <c r="A23" s="22"/>
      <c r="B23" s="23"/>
      <c r="C23" s="22"/>
      <c r="D23" s="92"/>
      <c r="E23" s="23"/>
      <c r="F23" s="24"/>
      <c r="G23" s="25"/>
      <c r="H23" s="14"/>
      <c r="I23" s="14"/>
      <c r="J23" s="14"/>
    </row>
    <row r="24" spans="1:9" ht="15" customHeight="1">
      <c r="A24" s="106" t="s">
        <v>14</v>
      </c>
      <c r="B24" s="106" t="s">
        <v>34</v>
      </c>
      <c r="C24" s="106" t="s">
        <v>88</v>
      </c>
      <c r="D24" s="19">
        <v>41153</v>
      </c>
      <c r="E24" s="19">
        <v>41518</v>
      </c>
      <c r="F24" s="109" t="s">
        <v>28</v>
      </c>
      <c r="G24" s="111" t="s">
        <v>29</v>
      </c>
      <c r="H24" s="6"/>
      <c r="I24" s="6"/>
    </row>
    <row r="25" spans="1:9" ht="15" customHeight="1">
      <c r="A25" s="107"/>
      <c r="B25" s="108"/>
      <c r="C25" s="108"/>
      <c r="D25" s="113" t="s">
        <v>26</v>
      </c>
      <c r="E25" s="110" t="s">
        <v>26</v>
      </c>
      <c r="F25" s="110"/>
      <c r="G25" s="112"/>
      <c r="H25" s="90"/>
      <c r="I25" s="11"/>
    </row>
    <row r="26" spans="1:10" ht="15" customHeight="1">
      <c r="A26" s="107"/>
      <c r="B26" s="108"/>
      <c r="C26" s="108"/>
      <c r="D26" s="109"/>
      <c r="E26" s="110"/>
      <c r="F26" s="110"/>
      <c r="G26" s="112"/>
      <c r="H26" s="11"/>
      <c r="I26" s="11"/>
      <c r="J26" s="15"/>
    </row>
    <row r="27" spans="1:10" ht="15" customHeight="1">
      <c r="A27" s="20" t="s">
        <v>15</v>
      </c>
      <c r="B27" s="34">
        <v>2100290</v>
      </c>
      <c r="C27" s="34">
        <v>1884258</v>
      </c>
      <c r="D27" s="35" t="e">
        <f>#REF!</f>
        <v>#REF!</v>
      </c>
      <c r="E27" s="35">
        <f>'2013 PROFIT &amp; LOSSES'!AI28</f>
        <v>1252449.66</v>
      </c>
      <c r="F27" s="35" t="e">
        <f>E27-D27</f>
        <v>#REF!</v>
      </c>
      <c r="G27" s="21">
        <f>E27/C27</f>
        <v>0.6646911728648625</v>
      </c>
      <c r="H27" s="8"/>
      <c r="I27" s="12"/>
      <c r="J27" s="15"/>
    </row>
    <row r="28" spans="1:10" ht="15" customHeight="1">
      <c r="A28" s="20" t="s">
        <v>16</v>
      </c>
      <c r="B28" s="34">
        <v>1787221</v>
      </c>
      <c r="C28" s="34">
        <v>2054581</v>
      </c>
      <c r="D28" s="35" t="e">
        <f>#REF!</f>
        <v>#REF!</v>
      </c>
      <c r="E28" s="35">
        <f>'2013 PROFIT &amp; LOSSES'!AI32</f>
        <v>1099403.39</v>
      </c>
      <c r="F28" s="35" t="e">
        <f>E28-D28</f>
        <v>#REF!</v>
      </c>
      <c r="G28" s="21">
        <f aca="true" t="shared" si="2" ref="G28:G38">E28/C28</f>
        <v>0.5350985870111715</v>
      </c>
      <c r="H28" s="8"/>
      <c r="I28" s="9"/>
      <c r="J28" s="15"/>
    </row>
    <row r="29" spans="1:10" ht="15" customHeight="1">
      <c r="A29" s="20" t="s">
        <v>87</v>
      </c>
      <c r="B29" s="34">
        <v>696162</v>
      </c>
      <c r="C29" s="34">
        <v>585246</v>
      </c>
      <c r="D29" s="35" t="e">
        <f>#REF!</f>
        <v>#REF!</v>
      </c>
      <c r="E29" s="35">
        <f>'2013 PROFIT &amp; LOSSES'!AI36</f>
        <v>305102.4</v>
      </c>
      <c r="F29" s="35" t="e">
        <f aca="true" t="shared" si="3" ref="F29:F40">E29-D29</f>
        <v>#REF!</v>
      </c>
      <c r="G29" s="21">
        <f t="shared" si="2"/>
        <v>0.5213233409540604</v>
      </c>
      <c r="H29" s="8"/>
      <c r="I29" s="9"/>
      <c r="J29" s="15"/>
    </row>
    <row r="30" spans="1:10" ht="15" customHeight="1">
      <c r="A30" s="20" t="s">
        <v>17</v>
      </c>
      <c r="B30" s="34">
        <v>7986645</v>
      </c>
      <c r="C30" s="34">
        <v>7653505</v>
      </c>
      <c r="D30" s="35" t="e">
        <f>#REF!</f>
        <v>#REF!</v>
      </c>
      <c r="E30" s="35">
        <f>'2013 PROFIT &amp; LOSSES'!AI40</f>
        <v>4521996.58</v>
      </c>
      <c r="F30" s="35" t="e">
        <f t="shared" si="3"/>
        <v>#REF!</v>
      </c>
      <c r="G30" s="21">
        <f t="shared" si="2"/>
        <v>0.5908399589469139</v>
      </c>
      <c r="H30" s="8"/>
      <c r="I30" s="9"/>
      <c r="J30" s="15"/>
    </row>
    <row r="31" spans="1:10" ht="15" customHeight="1">
      <c r="A31" s="20" t="s">
        <v>18</v>
      </c>
      <c r="B31" s="34">
        <v>20027575</v>
      </c>
      <c r="C31" s="34">
        <v>0</v>
      </c>
      <c r="D31" s="35" t="e">
        <f>#REF!</f>
        <v>#REF!</v>
      </c>
      <c r="E31" s="35">
        <v>0</v>
      </c>
      <c r="F31" s="35" t="e">
        <f>E31-D31</f>
        <v>#REF!</v>
      </c>
      <c r="G31" s="21">
        <v>0</v>
      </c>
      <c r="H31" s="8"/>
      <c r="I31" s="9"/>
      <c r="J31" s="15"/>
    </row>
    <row r="32" spans="1:10" ht="15" customHeight="1">
      <c r="A32" s="20" t="s">
        <v>93</v>
      </c>
      <c r="B32" s="34">
        <v>0</v>
      </c>
      <c r="C32" s="34">
        <v>10504913</v>
      </c>
      <c r="D32" s="35">
        <v>0</v>
      </c>
      <c r="E32" s="35">
        <f>'2013 PROFIT &amp; LOSSES'!AI48</f>
        <v>5887901.19</v>
      </c>
      <c r="F32" s="35">
        <f>E32-D32</f>
        <v>5887901.19</v>
      </c>
      <c r="G32" s="21">
        <f>E32/C32</f>
        <v>0.5604902382342434</v>
      </c>
      <c r="H32" s="8"/>
      <c r="I32" s="9"/>
      <c r="J32" s="15"/>
    </row>
    <row r="33" spans="1:10" ht="15" customHeight="1">
      <c r="A33" s="20" t="s">
        <v>94</v>
      </c>
      <c r="B33" s="34">
        <v>0</v>
      </c>
      <c r="C33" s="34">
        <f>8611145+592000</f>
        <v>9203145</v>
      </c>
      <c r="D33" s="35">
        <v>0</v>
      </c>
      <c r="E33" s="35">
        <f>'2013 PROFIT &amp; LOSSES'!AI52+'2013 PROFIT &amp; LOSSES'!AI56</f>
        <v>4751492.33</v>
      </c>
      <c r="F33" s="35">
        <f>E33-D33</f>
        <v>4751492.33</v>
      </c>
      <c r="G33" s="21">
        <f>E33/C33</f>
        <v>0.5162900649723545</v>
      </c>
      <c r="H33" s="8"/>
      <c r="I33" s="9"/>
      <c r="J33" s="15"/>
    </row>
    <row r="34" spans="1:10" ht="15" customHeight="1">
      <c r="A34" s="20" t="s">
        <v>19</v>
      </c>
      <c r="B34" s="34">
        <v>200000</v>
      </c>
      <c r="C34" s="34">
        <v>250000</v>
      </c>
      <c r="D34" s="35" t="e">
        <f>#REF!</f>
        <v>#REF!</v>
      </c>
      <c r="E34" s="35">
        <f>'2013 PROFIT &amp; LOSSES'!AI60</f>
        <v>65755.64</v>
      </c>
      <c r="F34" s="35" t="e">
        <f t="shared" si="3"/>
        <v>#REF!</v>
      </c>
      <c r="G34" s="21">
        <f t="shared" si="2"/>
        <v>0.26302256</v>
      </c>
      <c r="H34" s="8"/>
      <c r="I34" s="9"/>
      <c r="J34" s="15"/>
    </row>
    <row r="35" spans="1:10" ht="15" customHeight="1">
      <c r="A35" s="91" t="s">
        <v>35</v>
      </c>
      <c r="B35" s="34">
        <v>2707564</v>
      </c>
      <c r="C35" s="34">
        <v>3046935</v>
      </c>
      <c r="D35" s="35" t="e">
        <f>#REF!</f>
        <v>#REF!</v>
      </c>
      <c r="E35" s="35">
        <f>'2013 PROFIT &amp; LOSSES'!AI44</f>
        <v>1562694.67</v>
      </c>
      <c r="F35" s="35" t="e">
        <f t="shared" si="3"/>
        <v>#REF!</v>
      </c>
      <c r="G35" s="21">
        <f t="shared" si="2"/>
        <v>0.5128743048342023</v>
      </c>
      <c r="H35" s="8"/>
      <c r="I35" s="9"/>
      <c r="J35" s="15"/>
    </row>
    <row r="36" spans="1:10" ht="15" customHeight="1">
      <c r="A36" s="20" t="s">
        <v>20</v>
      </c>
      <c r="B36" s="34">
        <v>9633492</v>
      </c>
      <c r="C36" s="34">
        <v>9514640</v>
      </c>
      <c r="D36" s="35" t="e">
        <f>#REF!</f>
        <v>#REF!</v>
      </c>
      <c r="E36" s="35">
        <f>'2013 PROFIT &amp; LOSSES'!AI62</f>
        <v>5126929.67</v>
      </c>
      <c r="F36" s="35" t="e">
        <f t="shared" si="3"/>
        <v>#REF!</v>
      </c>
      <c r="G36" s="21">
        <f t="shared" si="2"/>
        <v>0.5388464166799795</v>
      </c>
      <c r="H36" s="8"/>
      <c r="I36" s="9"/>
      <c r="J36" s="15"/>
    </row>
    <row r="37" spans="1:10" ht="15" customHeight="1">
      <c r="A37" s="20" t="s">
        <v>21</v>
      </c>
      <c r="B37" s="34">
        <v>1429731</v>
      </c>
      <c r="C37" s="34">
        <v>1365971</v>
      </c>
      <c r="D37" s="35" t="e">
        <f>#REF!</f>
        <v>#REF!</v>
      </c>
      <c r="E37" s="35">
        <f>'2013 PROFIT &amp; LOSSES'!AI66</f>
        <v>773017.34</v>
      </c>
      <c r="F37" s="35" t="e">
        <f t="shared" si="3"/>
        <v>#REF!</v>
      </c>
      <c r="G37" s="21">
        <f t="shared" si="2"/>
        <v>0.5659105061527661</v>
      </c>
      <c r="H37" s="8"/>
      <c r="I37" s="9"/>
      <c r="J37" s="15"/>
    </row>
    <row r="38" spans="1:10" ht="15" customHeight="1">
      <c r="A38" s="20" t="s">
        <v>22</v>
      </c>
      <c r="B38" s="34">
        <v>1735303</v>
      </c>
      <c r="C38" s="34">
        <v>1813531</v>
      </c>
      <c r="D38" s="35" t="e">
        <f>#REF!</f>
        <v>#REF!</v>
      </c>
      <c r="E38" s="35">
        <f>'2013 PROFIT &amp; LOSSES'!AI70</f>
        <v>1105611.45</v>
      </c>
      <c r="F38" s="35" t="e">
        <f t="shared" si="3"/>
        <v>#REF!</v>
      </c>
      <c r="G38" s="21">
        <f t="shared" si="2"/>
        <v>0.6096457408227375</v>
      </c>
      <c r="H38" s="8"/>
      <c r="I38" s="9"/>
      <c r="J38" s="16"/>
    </row>
    <row r="39" spans="1:10" ht="15" customHeight="1">
      <c r="A39" s="20" t="s">
        <v>23</v>
      </c>
      <c r="B39" s="34">
        <v>2709420</v>
      </c>
      <c r="C39" s="34">
        <v>3415000</v>
      </c>
      <c r="D39" s="35" t="e">
        <f>#REF!</f>
        <v>#REF!</v>
      </c>
      <c r="E39" s="35">
        <f>'2013 PROFIT &amp; LOSSES'!AI74</f>
        <v>1413582.82</v>
      </c>
      <c r="F39" s="35" t="e">
        <f>E39-D39</f>
        <v>#REF!</v>
      </c>
      <c r="G39" s="21">
        <f>E39/C39</f>
        <v>0.4139334758418741</v>
      </c>
      <c r="H39" s="8"/>
      <c r="I39" s="9"/>
      <c r="J39" s="16"/>
    </row>
    <row r="40" spans="1:9" ht="15" customHeight="1">
      <c r="A40" s="26" t="s">
        <v>24</v>
      </c>
      <c r="B40" s="36">
        <v>7000000</v>
      </c>
      <c r="C40" s="36">
        <v>1550000</v>
      </c>
      <c r="D40" s="37">
        <v>0</v>
      </c>
      <c r="E40" s="35">
        <v>0</v>
      </c>
      <c r="F40" s="35">
        <f t="shared" si="3"/>
        <v>0</v>
      </c>
      <c r="G40" s="28"/>
      <c r="H40" s="3"/>
      <c r="I40" s="7"/>
    </row>
    <row r="41" spans="1:9" ht="15" customHeight="1">
      <c r="A41" s="27"/>
      <c r="B41" s="38"/>
      <c r="C41" s="38"/>
      <c r="D41" s="39"/>
      <c r="E41" s="39"/>
      <c r="F41" s="39"/>
      <c r="G41" s="30"/>
      <c r="H41" s="3"/>
      <c r="I41" s="7"/>
    </row>
    <row r="42" spans="1:10" s="10" customFormat="1" ht="18" customHeight="1">
      <c r="A42" s="18" t="s">
        <v>27</v>
      </c>
      <c r="B42" s="40">
        <f>SUM(B27:B40)</f>
        <v>58013403</v>
      </c>
      <c r="C42" s="40">
        <f>SUM(C27:C40)</f>
        <v>52841725</v>
      </c>
      <c r="D42" s="41" t="e">
        <f>SUM(D27:D40)</f>
        <v>#REF!</v>
      </c>
      <c r="E42" s="41">
        <f>SUM(E27:E40)</f>
        <v>27865937.14</v>
      </c>
      <c r="F42" s="41" t="e">
        <f>SUM(F27:F40)</f>
        <v>#REF!</v>
      </c>
      <c r="G42" s="29">
        <f>E42/C42</f>
        <v>0.5273472268363685</v>
      </c>
      <c r="J42" s="16"/>
    </row>
    <row r="43" spans="2:6" ht="12.75">
      <c r="B43" s="46"/>
      <c r="C43" s="46"/>
      <c r="D43" s="46"/>
      <c r="E43" s="46"/>
      <c r="F43" s="46"/>
    </row>
    <row r="44" spans="2:6" ht="12.75">
      <c r="B44" s="46"/>
      <c r="C44" s="46"/>
      <c r="D44" s="46"/>
      <c r="E44" s="46"/>
      <c r="F44" s="46"/>
    </row>
    <row r="45" spans="2:6" ht="12.75">
      <c r="B45" s="46"/>
      <c r="C45" s="46"/>
      <c r="D45" s="46"/>
      <c r="E45" s="46"/>
      <c r="F45" s="46"/>
    </row>
    <row r="46" spans="2:6" ht="12.75">
      <c r="B46" s="46"/>
      <c r="C46" s="46"/>
      <c r="D46" s="46"/>
      <c r="E46" s="46"/>
      <c r="F46" s="46"/>
    </row>
    <row r="47" spans="2:6" ht="12.75">
      <c r="B47" s="46"/>
      <c r="C47" s="46"/>
      <c r="D47" s="46"/>
      <c r="E47" s="46"/>
      <c r="F47" s="46"/>
    </row>
    <row r="48" spans="2:6" ht="12.75">
      <c r="B48" s="46"/>
      <c r="C48" s="46"/>
      <c r="D48" s="46"/>
      <c r="E48" s="46"/>
      <c r="F48" s="46"/>
    </row>
    <row r="49" spans="2:8" ht="12.75">
      <c r="B49" s="46"/>
      <c r="C49" s="46"/>
      <c r="D49" s="46"/>
      <c r="E49" s="46"/>
      <c r="F49" s="46"/>
      <c r="H49" s="33"/>
    </row>
    <row r="50" spans="2:8" ht="12.75">
      <c r="B50" s="46"/>
      <c r="C50" s="46"/>
      <c r="D50" s="46"/>
      <c r="E50" s="46"/>
      <c r="F50" s="46"/>
      <c r="H50" s="33"/>
    </row>
    <row r="51" spans="2:8" ht="12.75">
      <c r="B51" s="46"/>
      <c r="C51" s="46"/>
      <c r="D51" s="46"/>
      <c r="E51" s="46"/>
      <c r="F51" s="46"/>
      <c r="H51" s="33"/>
    </row>
  </sheetData>
  <sheetProtection/>
  <mergeCells count="14">
    <mergeCell ref="A24:A26"/>
    <mergeCell ref="B24:B26"/>
    <mergeCell ref="C24:C26"/>
    <mergeCell ref="F24:F26"/>
    <mergeCell ref="G24:G26"/>
    <mergeCell ref="D25:D26"/>
    <mergeCell ref="E25:E26"/>
    <mergeCell ref="A1:A3"/>
    <mergeCell ref="B1:B3"/>
    <mergeCell ref="C1:C3"/>
    <mergeCell ref="F1:F3"/>
    <mergeCell ref="G1:G3"/>
    <mergeCell ref="D2:D3"/>
    <mergeCell ref="E2:E3"/>
  </mergeCells>
  <printOptions horizontalCentered="1" verticalCentered="1"/>
  <pageMargins left="0.5" right="0.5" top="1" bottom="0.5" header="0.25" footer="0.3"/>
  <pageSetup fitToHeight="1" fitToWidth="1" horizontalDpi="300" verticalDpi="300" orientation="landscape" scale="88" r:id="rId1"/>
  <headerFooter>
    <oddHeader>&amp;C&amp;"-,Bold"&amp;12Forest Preserve District of Cook County
Corporate Fund Analysis of Revenue and Expense
As of September
 30, 2013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145" zoomScaleNormal="145" zoomScalePageLayoutView="0" workbookViewId="0" topLeftCell="A7">
      <selection activeCell="A4" sqref="A4"/>
    </sheetView>
  </sheetViews>
  <sheetFormatPr defaultColWidth="12.421875" defaultRowHeight="15"/>
  <cols>
    <col min="1" max="1" width="26.7109375" style="5" customWidth="1"/>
    <col min="2" max="3" width="13.7109375" style="5" customWidth="1"/>
    <col min="4" max="6" width="20.7109375" style="5" customWidth="1"/>
    <col min="7" max="7" width="14.28125" style="5" customWidth="1"/>
    <col min="8" max="8" width="14.421875" style="5" customWidth="1"/>
    <col min="9" max="10" width="15.28125" style="5" customWidth="1"/>
    <col min="11" max="11" width="13.57421875" style="5" customWidth="1"/>
    <col min="12" max="12" width="15.28125" style="5" customWidth="1"/>
    <col min="13" max="13" width="15.421875" style="5" customWidth="1"/>
    <col min="14" max="14" width="8.00390625" style="5" customWidth="1"/>
    <col min="15" max="15" width="18.57421875" style="5" customWidth="1"/>
    <col min="16" max="16" width="13.7109375" style="5" customWidth="1"/>
    <col min="17" max="18" width="12.421875" style="5" customWidth="1"/>
    <col min="19" max="19" width="11.57421875" style="5" customWidth="1"/>
    <col min="20" max="16384" width="12.421875" style="5" customWidth="1"/>
  </cols>
  <sheetData>
    <row r="1" spans="1:11" ht="15" customHeight="1">
      <c r="A1" s="108" t="s">
        <v>0</v>
      </c>
      <c r="B1" s="114" t="s">
        <v>34</v>
      </c>
      <c r="C1" s="114" t="s">
        <v>88</v>
      </c>
      <c r="D1" s="19">
        <v>41122</v>
      </c>
      <c r="E1" s="19">
        <v>41487</v>
      </c>
      <c r="F1" s="110" t="s">
        <v>28</v>
      </c>
      <c r="G1" s="112" t="s">
        <v>29</v>
      </c>
      <c r="H1" s="6"/>
      <c r="I1" s="6"/>
      <c r="J1" s="6"/>
      <c r="K1" s="6"/>
    </row>
    <row r="2" spans="1:11" ht="15" customHeight="1">
      <c r="A2" s="108"/>
      <c r="B2" s="115" t="s">
        <v>25</v>
      </c>
      <c r="C2" s="115" t="s">
        <v>25</v>
      </c>
      <c r="D2" s="110" t="s">
        <v>26</v>
      </c>
      <c r="E2" s="110" t="s">
        <v>26</v>
      </c>
      <c r="F2" s="110"/>
      <c r="G2" s="112"/>
      <c r="H2" s="11"/>
      <c r="I2" s="11"/>
      <c r="J2" s="6"/>
      <c r="K2" s="11"/>
    </row>
    <row r="3" spans="1:11" ht="15" customHeight="1">
      <c r="A3" s="108"/>
      <c r="B3" s="106"/>
      <c r="C3" s="106"/>
      <c r="D3" s="110"/>
      <c r="E3" s="110"/>
      <c r="F3" s="110"/>
      <c r="G3" s="112"/>
      <c r="H3" s="11"/>
      <c r="I3" s="11"/>
      <c r="J3" s="11"/>
      <c r="K3" s="11"/>
    </row>
    <row r="4" spans="1:11" ht="15" customHeight="1">
      <c r="A4" s="20" t="s">
        <v>30</v>
      </c>
      <c r="B4" s="34">
        <f>41363334-1568167</f>
        <v>39795167</v>
      </c>
      <c r="C4" s="34">
        <f>46708559-1401257</f>
        <v>45307302</v>
      </c>
      <c r="D4" s="35" t="e">
        <f>#REF!</f>
        <v>#REF!</v>
      </c>
      <c r="E4" s="35">
        <f>'2013 PROFIT &amp; LOSSES'!AE5</f>
        <v>37492041.23</v>
      </c>
      <c r="F4" s="35" t="e">
        <f>E4-D4</f>
        <v>#REF!</v>
      </c>
      <c r="G4" s="42">
        <f>E4/C4</f>
        <v>0.8275054919403498</v>
      </c>
      <c r="H4" s="12"/>
      <c r="I4" s="12"/>
      <c r="J4" s="8"/>
      <c r="K4" s="12"/>
    </row>
    <row r="5" spans="1:11" ht="15" customHeight="1">
      <c r="A5" s="20" t="s">
        <v>31</v>
      </c>
      <c r="B5" s="34">
        <v>5200000</v>
      </c>
      <c r="C5" s="34">
        <v>834100</v>
      </c>
      <c r="D5" s="35" t="e">
        <f>#REF!</f>
        <v>#REF!</v>
      </c>
      <c r="E5" s="35">
        <f>'2013 PROFIT &amp; LOSSES'!AE8</f>
        <v>965860.9</v>
      </c>
      <c r="F5" s="35" t="e">
        <f aca="true" t="shared" si="0" ref="F5:F19">E5-D5</f>
        <v>#REF!</v>
      </c>
      <c r="G5" s="42">
        <f aca="true" t="shared" si="1" ref="G5:G18">E5/C5</f>
        <v>1.1579677496703034</v>
      </c>
      <c r="H5" s="12"/>
      <c r="I5" s="32"/>
      <c r="J5" s="32"/>
      <c r="K5" s="12"/>
    </row>
    <row r="6" spans="1:11" ht="15" customHeight="1">
      <c r="A6" s="20" t="s">
        <v>1</v>
      </c>
      <c r="B6" s="34">
        <v>900000</v>
      </c>
      <c r="C6" s="34">
        <v>990000</v>
      </c>
      <c r="D6" s="35" t="e">
        <f>#REF!</f>
        <v>#REF!</v>
      </c>
      <c r="E6" s="35">
        <f>'2013 PROFIT &amp; LOSSES'!AE11</f>
        <v>195079.73</v>
      </c>
      <c r="F6" s="35" t="e">
        <f t="shared" si="0"/>
        <v>#REF!</v>
      </c>
      <c r="G6" s="42">
        <f t="shared" si="1"/>
        <v>0.19705023232323232</v>
      </c>
      <c r="H6" s="12"/>
      <c r="I6" s="31"/>
      <c r="J6" s="31"/>
      <c r="K6" s="12"/>
    </row>
    <row r="7" spans="1:11" ht="15" customHeight="1">
      <c r="A7" s="20" t="s">
        <v>2</v>
      </c>
      <c r="B7" s="34">
        <v>150000</v>
      </c>
      <c r="C7" s="34">
        <v>200000</v>
      </c>
      <c r="D7" s="35" t="e">
        <f>#REF!</f>
        <v>#REF!</v>
      </c>
      <c r="E7" s="35">
        <f>'2013 PROFIT &amp; LOSSES'!AE14</f>
        <v>122579.44</v>
      </c>
      <c r="F7" s="35" t="e">
        <f>E7-D7</f>
        <v>#REF!</v>
      </c>
      <c r="G7" s="42">
        <f t="shared" si="1"/>
        <v>0.6128972</v>
      </c>
      <c r="H7" s="12"/>
      <c r="I7" s="12"/>
      <c r="J7" s="8"/>
      <c r="K7" s="12"/>
    </row>
    <row r="8" spans="1:11" ht="15" customHeight="1">
      <c r="A8" s="20" t="s">
        <v>3</v>
      </c>
      <c r="B8" s="34">
        <v>1751670</v>
      </c>
      <c r="C8" s="34">
        <f>1165700+234300</f>
        <v>1400000</v>
      </c>
      <c r="D8" s="35" t="e">
        <f>#REF!</f>
        <v>#REF!</v>
      </c>
      <c r="E8" s="35">
        <f>'2013 PROFIT &amp; LOSSES'!AE16</f>
        <v>1050090.13</v>
      </c>
      <c r="F8" s="35" t="e">
        <f>E8-D8</f>
        <v>#REF!</v>
      </c>
      <c r="G8" s="42">
        <f t="shared" si="1"/>
        <v>0.7500643785714285</v>
      </c>
      <c r="H8" s="12"/>
      <c r="I8" s="12"/>
      <c r="J8" s="8"/>
      <c r="K8" s="12"/>
    </row>
    <row r="9" spans="1:11" ht="15" customHeight="1">
      <c r="A9" s="20" t="s">
        <v>4</v>
      </c>
      <c r="B9" s="34">
        <v>250000</v>
      </c>
      <c r="C9" s="34">
        <v>250000</v>
      </c>
      <c r="D9" s="35" t="e">
        <f>#REF!</f>
        <v>#REF!</v>
      </c>
      <c r="E9" s="35">
        <f>'2013 PROFIT &amp; LOSSES'!AE15</f>
        <v>234856.29</v>
      </c>
      <c r="F9" s="35" t="e">
        <f t="shared" si="0"/>
        <v>#REF!</v>
      </c>
      <c r="G9" s="42">
        <f t="shared" si="1"/>
        <v>0.93942516</v>
      </c>
      <c r="H9" s="12"/>
      <c r="I9" s="12"/>
      <c r="J9" s="8"/>
      <c r="K9" s="12"/>
    </row>
    <row r="10" spans="1:12" ht="15" customHeight="1">
      <c r="A10" s="20" t="s">
        <v>5</v>
      </c>
      <c r="B10" s="34">
        <v>25000</v>
      </c>
      <c r="C10" s="34">
        <v>15000</v>
      </c>
      <c r="D10" s="35" t="e">
        <f>#REF!</f>
        <v>#REF!</v>
      </c>
      <c r="E10" s="35">
        <f>'2013 PROFIT &amp; LOSSES'!AE17</f>
        <v>5450</v>
      </c>
      <c r="F10" s="35" t="e">
        <f t="shared" si="0"/>
        <v>#REF!</v>
      </c>
      <c r="G10" s="42">
        <f t="shared" si="1"/>
        <v>0.36333333333333334</v>
      </c>
      <c r="H10" s="12"/>
      <c r="I10" s="12"/>
      <c r="J10" s="8"/>
      <c r="K10" s="12"/>
      <c r="L10" s="4"/>
    </row>
    <row r="11" spans="1:11" ht="15" customHeight="1">
      <c r="A11" s="20" t="s">
        <v>6</v>
      </c>
      <c r="B11" s="34">
        <v>35000</v>
      </c>
      <c r="C11" s="34">
        <v>40000</v>
      </c>
      <c r="D11" s="35" t="e">
        <f>#REF!</f>
        <v>#REF!</v>
      </c>
      <c r="E11" s="35">
        <f>'2013 PROFIT &amp; LOSSES'!AE19</f>
        <v>46479</v>
      </c>
      <c r="F11" s="35" t="e">
        <f t="shared" si="0"/>
        <v>#REF!</v>
      </c>
      <c r="G11" s="42">
        <f t="shared" si="1"/>
        <v>1.161975</v>
      </c>
      <c r="H11" s="12"/>
      <c r="I11" s="12"/>
      <c r="J11" s="8"/>
      <c r="K11" s="12"/>
    </row>
    <row r="12" spans="1:11" ht="15" customHeight="1">
      <c r="A12" s="20" t="s">
        <v>7</v>
      </c>
      <c r="B12" s="34">
        <v>50000</v>
      </c>
      <c r="C12" s="34">
        <v>100000</v>
      </c>
      <c r="D12" s="35" t="e">
        <f>#REF!</f>
        <v>#REF!</v>
      </c>
      <c r="E12" s="35">
        <f>'2013 PROFIT &amp; LOSSES'!AE20</f>
        <v>117875.22</v>
      </c>
      <c r="F12" s="35" t="e">
        <f t="shared" si="0"/>
        <v>#REF!</v>
      </c>
      <c r="G12" s="42">
        <f t="shared" si="1"/>
        <v>1.1787522</v>
      </c>
      <c r="H12" s="12"/>
      <c r="I12" s="12"/>
      <c r="J12" s="8"/>
      <c r="K12" s="12"/>
    </row>
    <row r="13" spans="1:12" ht="15" customHeight="1">
      <c r="A13" s="20" t="s">
        <v>8</v>
      </c>
      <c r="B13" s="34">
        <v>850000</v>
      </c>
      <c r="C13" s="34">
        <v>890000</v>
      </c>
      <c r="D13" s="35" t="e">
        <f>#REF!</f>
        <v>#REF!</v>
      </c>
      <c r="E13" s="35">
        <f>'2013 PROFIT &amp; LOSSES'!AE12</f>
        <v>960135.13</v>
      </c>
      <c r="F13" s="35" t="e">
        <f t="shared" si="0"/>
        <v>#REF!</v>
      </c>
      <c r="G13" s="42">
        <f t="shared" si="1"/>
        <v>1.0788035168539325</v>
      </c>
      <c r="H13" s="12"/>
      <c r="I13" s="12"/>
      <c r="J13" s="8"/>
      <c r="K13" s="12"/>
      <c r="L13" s="4"/>
    </row>
    <row r="14" spans="1:11" ht="15" customHeight="1">
      <c r="A14" s="20" t="s">
        <v>9</v>
      </c>
      <c r="B14" s="34">
        <v>250000</v>
      </c>
      <c r="C14" s="34">
        <v>400000</v>
      </c>
      <c r="D14" s="35" t="e">
        <f>#REF!</f>
        <v>#REF!</v>
      </c>
      <c r="E14" s="35">
        <f>'2013 PROFIT &amp; LOSSES'!AE13</f>
        <v>411303.15</v>
      </c>
      <c r="F14" s="35" t="e">
        <f t="shared" si="0"/>
        <v>#REF!</v>
      </c>
      <c r="G14" s="42">
        <f t="shared" si="1"/>
        <v>1.028257875</v>
      </c>
      <c r="H14" s="12"/>
      <c r="I14" s="12"/>
      <c r="J14" s="8"/>
      <c r="K14" s="12"/>
    </row>
    <row r="15" spans="1:11" ht="15" customHeight="1">
      <c r="A15" s="20" t="s">
        <v>10</v>
      </c>
      <c r="B15" s="34">
        <v>175000</v>
      </c>
      <c r="C15" s="34">
        <v>320000</v>
      </c>
      <c r="D15" s="35" t="e">
        <f>#REF!</f>
        <v>#REF!</v>
      </c>
      <c r="E15" s="35">
        <f>'2013 PROFIT &amp; LOSSES'!AE18</f>
        <v>218195.35</v>
      </c>
      <c r="F15" s="35" t="e">
        <f t="shared" si="0"/>
        <v>#REF!</v>
      </c>
      <c r="G15" s="42">
        <f t="shared" si="1"/>
        <v>0.6818604687500001</v>
      </c>
      <c r="H15" s="12"/>
      <c r="I15" s="12"/>
      <c r="J15" s="8"/>
      <c r="K15" s="12"/>
    </row>
    <row r="16" spans="1:11" ht="12.75">
      <c r="A16" s="20" t="s">
        <v>11</v>
      </c>
      <c r="B16" s="34">
        <v>50000</v>
      </c>
      <c r="C16" s="34">
        <v>150000</v>
      </c>
      <c r="D16" s="35" t="e">
        <f>#REF!</f>
        <v>#REF!</v>
      </c>
      <c r="E16" s="35">
        <f>'2013 PROFIT &amp; LOSSES'!AE21</f>
        <v>23027.24</v>
      </c>
      <c r="F16" s="35" t="e">
        <f t="shared" si="0"/>
        <v>#REF!</v>
      </c>
      <c r="G16" s="42">
        <f t="shared" si="1"/>
        <v>0.15351493333333335</v>
      </c>
      <c r="H16" s="12"/>
      <c r="I16" s="12"/>
      <c r="J16" s="8"/>
      <c r="K16" s="12"/>
    </row>
    <row r="17" spans="1:11" ht="15" customHeight="1" hidden="1">
      <c r="A17" s="20" t="s">
        <v>12</v>
      </c>
      <c r="B17" s="34"/>
      <c r="C17" s="34"/>
      <c r="D17" s="35" t="e">
        <f>#REF!</f>
        <v>#REF!</v>
      </c>
      <c r="E17" s="35">
        <v>0</v>
      </c>
      <c r="F17" s="35" t="e">
        <f t="shared" si="0"/>
        <v>#REF!</v>
      </c>
      <c r="G17" s="42" t="e">
        <f t="shared" si="1"/>
        <v>#DIV/0!</v>
      </c>
      <c r="H17" s="12"/>
      <c r="I17" s="12"/>
      <c r="J17" s="8"/>
      <c r="K17" s="12"/>
    </row>
    <row r="18" spans="1:11" ht="12.75" customHeight="1" hidden="1">
      <c r="A18" s="20"/>
      <c r="B18" s="34"/>
      <c r="C18" s="34"/>
      <c r="D18" s="35" t="e">
        <f>#REF!</f>
        <v>#REF!</v>
      </c>
      <c r="E18" s="35">
        <v>0</v>
      </c>
      <c r="F18" s="35" t="e">
        <f t="shared" si="0"/>
        <v>#REF!</v>
      </c>
      <c r="G18" s="42" t="e">
        <f t="shared" si="1"/>
        <v>#DIV/0!</v>
      </c>
      <c r="H18" s="2"/>
      <c r="I18" s="2"/>
      <c r="J18" s="3"/>
      <c r="K18" s="2"/>
    </row>
    <row r="19" spans="1:11" ht="15" customHeight="1">
      <c r="A19" s="26" t="s">
        <v>13</v>
      </c>
      <c r="B19" s="36">
        <v>8531566</v>
      </c>
      <c r="C19" s="36">
        <v>1945323</v>
      </c>
      <c r="D19" s="35">
        <v>0</v>
      </c>
      <c r="E19" s="37">
        <v>0</v>
      </c>
      <c r="F19" s="37">
        <f t="shared" si="0"/>
        <v>0</v>
      </c>
      <c r="G19" s="43"/>
      <c r="H19" s="12"/>
      <c r="I19" s="12"/>
      <c r="J19" s="8"/>
      <c r="K19" s="12"/>
    </row>
    <row r="20" spans="1:11" ht="15" customHeight="1">
      <c r="A20" s="27"/>
      <c r="B20" s="38"/>
      <c r="C20" s="38"/>
      <c r="D20" s="39"/>
      <c r="E20" s="39"/>
      <c r="F20" s="39"/>
      <c r="G20" s="44"/>
      <c r="H20" s="12"/>
      <c r="I20" s="12"/>
      <c r="J20" s="8"/>
      <c r="K20" s="12"/>
    </row>
    <row r="21" spans="1:14" s="10" customFormat="1" ht="18" customHeight="1">
      <c r="A21" s="18" t="s">
        <v>27</v>
      </c>
      <c r="B21" s="40">
        <f>SUM(B4:B19)</f>
        <v>58013403</v>
      </c>
      <c r="C21" s="40">
        <f>SUM(C4:C19)</f>
        <v>52841725</v>
      </c>
      <c r="D21" s="41" t="e">
        <f>D19+D16+D15+D14+D13+D12+D11+D10+D9+D8+D7+D6+D5+D4</f>
        <v>#REF!</v>
      </c>
      <c r="E21" s="41">
        <f>SUM(E4:E19)</f>
        <v>41842972.809999995</v>
      </c>
      <c r="F21" s="41" t="e">
        <f>SUM(F4:F19)</f>
        <v>#REF!</v>
      </c>
      <c r="G21" s="45">
        <f>E21/C21</f>
        <v>0.7918547853992275</v>
      </c>
      <c r="H21" s="12"/>
      <c r="I21" s="12">
        <f>E21-20900004.28</f>
        <v>20942968.529999994</v>
      </c>
      <c r="J21" s="8"/>
      <c r="K21" s="12"/>
      <c r="L21" s="8"/>
      <c r="N21" s="17"/>
    </row>
    <row r="22" spans="1:11" ht="12" customHeight="1">
      <c r="A22" s="1"/>
      <c r="B22" s="4"/>
      <c r="C22" s="4"/>
      <c r="D22" s="4"/>
      <c r="E22" s="4"/>
      <c r="F22" s="13"/>
      <c r="G22" s="13"/>
      <c r="H22" s="2"/>
      <c r="I22" s="2"/>
      <c r="J22" s="3"/>
      <c r="K22" s="2"/>
    </row>
    <row r="23" spans="1:10" ht="12" customHeight="1">
      <c r="A23" s="22"/>
      <c r="B23" s="23"/>
      <c r="C23" s="22"/>
      <c r="D23" s="92"/>
      <c r="E23" s="23"/>
      <c r="F23" s="24"/>
      <c r="G23" s="25"/>
      <c r="H23" s="14"/>
      <c r="I23" s="14"/>
      <c r="J23" s="14"/>
    </row>
    <row r="24" spans="1:9" ht="15" customHeight="1">
      <c r="A24" s="106" t="s">
        <v>14</v>
      </c>
      <c r="B24" s="106" t="s">
        <v>34</v>
      </c>
      <c r="C24" s="106" t="s">
        <v>88</v>
      </c>
      <c r="D24" s="19">
        <v>41122</v>
      </c>
      <c r="E24" s="19">
        <v>41487</v>
      </c>
      <c r="F24" s="109" t="s">
        <v>28</v>
      </c>
      <c r="G24" s="111" t="s">
        <v>29</v>
      </c>
      <c r="H24" s="6"/>
      <c r="I24" s="6"/>
    </row>
    <row r="25" spans="1:9" ht="15" customHeight="1">
      <c r="A25" s="107"/>
      <c r="B25" s="108"/>
      <c r="C25" s="108"/>
      <c r="D25" s="113" t="s">
        <v>26</v>
      </c>
      <c r="E25" s="110" t="s">
        <v>26</v>
      </c>
      <c r="F25" s="110"/>
      <c r="G25" s="112"/>
      <c r="H25" s="90"/>
      <c r="I25" s="11"/>
    </row>
    <row r="26" spans="1:10" ht="15" customHeight="1">
      <c r="A26" s="107"/>
      <c r="B26" s="108"/>
      <c r="C26" s="108"/>
      <c r="D26" s="109"/>
      <c r="E26" s="110"/>
      <c r="F26" s="110"/>
      <c r="G26" s="112"/>
      <c r="H26" s="11"/>
      <c r="I26" s="11"/>
      <c r="J26" s="15"/>
    </row>
    <row r="27" spans="1:10" ht="15" customHeight="1">
      <c r="A27" s="20" t="s">
        <v>15</v>
      </c>
      <c r="B27" s="34">
        <v>2100290</v>
      </c>
      <c r="C27" s="34">
        <v>1884258</v>
      </c>
      <c r="D27" s="35" t="e">
        <f>#REF!</f>
        <v>#REF!</v>
      </c>
      <c r="E27" s="35">
        <f>'2013 PROFIT &amp; LOSSES'!AE28</f>
        <v>1084968.22</v>
      </c>
      <c r="F27" s="35" t="e">
        <f>E27-D27</f>
        <v>#REF!</v>
      </c>
      <c r="G27" s="21">
        <f>E27/C27</f>
        <v>0.5758066145931183</v>
      </c>
      <c r="H27" s="8"/>
      <c r="I27" s="12"/>
      <c r="J27" s="15"/>
    </row>
    <row r="28" spans="1:10" ht="15" customHeight="1">
      <c r="A28" s="20" t="s">
        <v>16</v>
      </c>
      <c r="B28" s="34">
        <v>1787221</v>
      </c>
      <c r="C28" s="34">
        <v>2054581</v>
      </c>
      <c r="D28" s="35" t="e">
        <f>#REF!</f>
        <v>#REF!</v>
      </c>
      <c r="E28" s="35">
        <f>'2013 PROFIT &amp; LOSSES'!AE32</f>
        <v>977292.84</v>
      </c>
      <c r="F28" s="35" t="e">
        <f>E28-D28</f>
        <v>#REF!</v>
      </c>
      <c r="G28" s="21">
        <f aca="true" t="shared" si="2" ref="G28:G38">E28/C28</f>
        <v>0.4756652767644595</v>
      </c>
      <c r="H28" s="8"/>
      <c r="I28" s="9"/>
      <c r="J28" s="15"/>
    </row>
    <row r="29" spans="1:10" ht="15" customHeight="1">
      <c r="A29" s="20" t="s">
        <v>87</v>
      </c>
      <c r="B29" s="34">
        <v>696162</v>
      </c>
      <c r="C29" s="34">
        <v>585246</v>
      </c>
      <c r="D29" s="35" t="e">
        <f>#REF!</f>
        <v>#REF!</v>
      </c>
      <c r="E29" s="35">
        <f>'2013 PROFIT &amp; LOSSES'!AE36</f>
        <v>265098.48</v>
      </c>
      <c r="F29" s="35" t="e">
        <f aca="true" t="shared" si="3" ref="F29:F40">E29-D29</f>
        <v>#REF!</v>
      </c>
      <c r="G29" s="21">
        <f t="shared" si="2"/>
        <v>0.4529693154673419</v>
      </c>
      <c r="H29" s="8"/>
      <c r="I29" s="9"/>
      <c r="J29" s="15"/>
    </row>
    <row r="30" spans="1:10" ht="15" customHeight="1">
      <c r="A30" s="20" t="s">
        <v>17</v>
      </c>
      <c r="B30" s="34">
        <v>7986645</v>
      </c>
      <c r="C30" s="34">
        <v>7653505</v>
      </c>
      <c r="D30" s="35" t="e">
        <f>#REF!</f>
        <v>#REF!</v>
      </c>
      <c r="E30" s="35">
        <f>'2013 PROFIT &amp; LOSSES'!AE40</f>
        <v>3861959</v>
      </c>
      <c r="F30" s="35" t="e">
        <f t="shared" si="3"/>
        <v>#REF!</v>
      </c>
      <c r="G30" s="21">
        <f t="shared" si="2"/>
        <v>0.504600049258477</v>
      </c>
      <c r="H30" s="8"/>
      <c r="I30" s="9"/>
      <c r="J30" s="15"/>
    </row>
    <row r="31" spans="1:10" ht="15" customHeight="1">
      <c r="A31" s="20" t="s">
        <v>18</v>
      </c>
      <c r="B31" s="34">
        <v>20027575</v>
      </c>
      <c r="C31" s="34">
        <v>0</v>
      </c>
      <c r="D31" s="35" t="e">
        <f>#REF!</f>
        <v>#REF!</v>
      </c>
      <c r="E31" s="35">
        <v>0</v>
      </c>
      <c r="F31" s="35" t="e">
        <f>E31-D31</f>
        <v>#REF!</v>
      </c>
      <c r="G31" s="21">
        <v>0</v>
      </c>
      <c r="H31" s="8"/>
      <c r="I31" s="9"/>
      <c r="J31" s="15"/>
    </row>
    <row r="32" spans="1:10" ht="15" customHeight="1">
      <c r="A32" s="20" t="s">
        <v>93</v>
      </c>
      <c r="B32" s="34">
        <v>0</v>
      </c>
      <c r="C32" s="34">
        <v>10504913</v>
      </c>
      <c r="D32" s="35">
        <v>0</v>
      </c>
      <c r="E32" s="35">
        <f>'2013 PROFIT &amp; LOSSES'!AE48</f>
        <v>5003589.7</v>
      </c>
      <c r="F32" s="35">
        <f>E32-D32</f>
        <v>5003589.7</v>
      </c>
      <c r="G32" s="21">
        <f>E32/C32</f>
        <v>0.47630948490482505</v>
      </c>
      <c r="H32" s="8"/>
      <c r="I32" s="9"/>
      <c r="J32" s="15"/>
    </row>
    <row r="33" spans="1:10" ht="15" customHeight="1">
      <c r="A33" s="20" t="s">
        <v>94</v>
      </c>
      <c r="B33" s="34">
        <v>0</v>
      </c>
      <c r="C33" s="34">
        <f>8611145+592000</f>
        <v>9203145</v>
      </c>
      <c r="D33" s="35">
        <v>0</v>
      </c>
      <c r="E33" s="35">
        <f>'2013 PROFIT &amp; LOSSES'!AE52+'2013 PROFIT &amp; LOSSES'!AE56</f>
        <v>3933092.68</v>
      </c>
      <c r="F33" s="35">
        <f>E33-D33</f>
        <v>3933092.68</v>
      </c>
      <c r="G33" s="21">
        <f>E33/C33</f>
        <v>0.42736398046537355</v>
      </c>
      <c r="H33" s="8"/>
      <c r="I33" s="9"/>
      <c r="J33" s="15"/>
    </row>
    <row r="34" spans="1:10" ht="15" customHeight="1">
      <c r="A34" s="20" t="s">
        <v>19</v>
      </c>
      <c r="B34" s="34">
        <v>200000</v>
      </c>
      <c r="C34" s="34">
        <v>250000</v>
      </c>
      <c r="D34" s="35" t="e">
        <f>#REF!</f>
        <v>#REF!</v>
      </c>
      <c r="E34" s="35">
        <f>'2013 PROFIT &amp; LOSSES'!AE60</f>
        <v>64507.64</v>
      </c>
      <c r="F34" s="35" t="e">
        <f t="shared" si="3"/>
        <v>#REF!</v>
      </c>
      <c r="G34" s="21">
        <f t="shared" si="2"/>
        <v>0.25803056</v>
      </c>
      <c r="H34" s="8"/>
      <c r="I34" s="9"/>
      <c r="J34" s="15"/>
    </row>
    <row r="35" spans="1:10" ht="15" customHeight="1">
      <c r="A35" s="91" t="s">
        <v>35</v>
      </c>
      <c r="B35" s="34">
        <v>2707564</v>
      </c>
      <c r="C35" s="34">
        <v>3046935</v>
      </c>
      <c r="D35" s="35" t="e">
        <f>#REF!</f>
        <v>#REF!</v>
      </c>
      <c r="E35" s="35">
        <f>'2013 PROFIT &amp; LOSSES'!AE44</f>
        <v>1297103.18</v>
      </c>
      <c r="F35" s="35" t="e">
        <f t="shared" si="3"/>
        <v>#REF!</v>
      </c>
      <c r="G35" s="21">
        <f t="shared" si="2"/>
        <v>0.42570753232346603</v>
      </c>
      <c r="H35" s="8"/>
      <c r="I35" s="9"/>
      <c r="J35" s="15"/>
    </row>
    <row r="36" spans="1:10" ht="15" customHeight="1">
      <c r="A36" s="20" t="s">
        <v>20</v>
      </c>
      <c r="B36" s="34">
        <v>9633492</v>
      </c>
      <c r="C36" s="34">
        <v>9514640</v>
      </c>
      <c r="D36" s="35" t="e">
        <f>#REF!</f>
        <v>#REF!</v>
      </c>
      <c r="E36" s="35">
        <f>'2013 PROFIT &amp; LOSSES'!AE62</f>
        <v>4481730.68</v>
      </c>
      <c r="F36" s="35" t="e">
        <f t="shared" si="3"/>
        <v>#REF!</v>
      </c>
      <c r="G36" s="21">
        <f t="shared" si="2"/>
        <v>0.47103523412341397</v>
      </c>
      <c r="H36" s="8"/>
      <c r="I36" s="9"/>
      <c r="J36" s="15"/>
    </row>
    <row r="37" spans="1:10" ht="15" customHeight="1">
      <c r="A37" s="20" t="s">
        <v>21</v>
      </c>
      <c r="B37" s="34">
        <v>1429731</v>
      </c>
      <c r="C37" s="34">
        <v>1365971</v>
      </c>
      <c r="D37" s="35" t="e">
        <f>#REF!</f>
        <v>#REF!</v>
      </c>
      <c r="E37" s="35">
        <f>'2013 PROFIT &amp; LOSSES'!AE66</f>
        <v>681523.49</v>
      </c>
      <c r="F37" s="35" t="e">
        <f t="shared" si="3"/>
        <v>#REF!</v>
      </c>
      <c r="G37" s="21">
        <f t="shared" si="2"/>
        <v>0.4989296917723729</v>
      </c>
      <c r="H37" s="8"/>
      <c r="I37" s="9"/>
      <c r="J37" s="15"/>
    </row>
    <row r="38" spans="1:10" ht="15" customHeight="1">
      <c r="A38" s="20" t="s">
        <v>22</v>
      </c>
      <c r="B38" s="34">
        <v>1735303</v>
      </c>
      <c r="C38" s="34">
        <v>1813531</v>
      </c>
      <c r="D38" s="35" t="e">
        <f>#REF!</f>
        <v>#REF!</v>
      </c>
      <c r="E38" s="35">
        <f>'2013 PROFIT &amp; LOSSES'!AE70</f>
        <v>974019.1</v>
      </c>
      <c r="F38" s="35" t="e">
        <f t="shared" si="3"/>
        <v>#REF!</v>
      </c>
      <c r="G38" s="21">
        <f t="shared" si="2"/>
        <v>0.5370843398872145</v>
      </c>
      <c r="H38" s="8"/>
      <c r="I38" s="9"/>
      <c r="J38" s="16"/>
    </row>
    <row r="39" spans="1:10" ht="15" customHeight="1">
      <c r="A39" s="20" t="s">
        <v>23</v>
      </c>
      <c r="B39" s="34">
        <v>2709420</v>
      </c>
      <c r="C39" s="34">
        <v>3415000</v>
      </c>
      <c r="D39" s="35" t="e">
        <f>#REF!</f>
        <v>#REF!</v>
      </c>
      <c r="E39" s="35">
        <f>'2013 PROFIT &amp; LOSSES'!AE74</f>
        <v>1307118.71</v>
      </c>
      <c r="F39" s="35" t="e">
        <f>E39-D39</f>
        <v>#REF!</v>
      </c>
      <c r="G39" s="21">
        <f>E39/C39</f>
        <v>0.3827580409956076</v>
      </c>
      <c r="H39" s="8"/>
      <c r="I39" s="9"/>
      <c r="J39" s="16"/>
    </row>
    <row r="40" spans="1:9" ht="15" customHeight="1">
      <c r="A40" s="26" t="s">
        <v>24</v>
      </c>
      <c r="B40" s="36">
        <v>7000000</v>
      </c>
      <c r="C40" s="36">
        <v>1550000</v>
      </c>
      <c r="D40" s="37">
        <v>0</v>
      </c>
      <c r="E40" s="35">
        <v>0</v>
      </c>
      <c r="F40" s="35">
        <f t="shared" si="3"/>
        <v>0</v>
      </c>
      <c r="G40" s="28"/>
      <c r="H40" s="3"/>
      <c r="I40" s="7"/>
    </row>
    <row r="41" spans="1:9" ht="15" customHeight="1">
      <c r="A41" s="27"/>
      <c r="B41" s="38"/>
      <c r="C41" s="38"/>
      <c r="D41" s="39"/>
      <c r="E41" s="39"/>
      <c r="F41" s="39"/>
      <c r="G41" s="30"/>
      <c r="H41" s="3"/>
      <c r="I41" s="7"/>
    </row>
    <row r="42" spans="1:10" s="10" customFormat="1" ht="18" customHeight="1">
      <c r="A42" s="18" t="s">
        <v>27</v>
      </c>
      <c r="B42" s="40">
        <f>SUM(B27:B40)</f>
        <v>58013403</v>
      </c>
      <c r="C42" s="40">
        <f>SUM(C27:C40)</f>
        <v>52841725</v>
      </c>
      <c r="D42" s="41" t="e">
        <f>SUM(D27:D40)</f>
        <v>#REF!</v>
      </c>
      <c r="E42" s="41">
        <f>SUM(E27:E40)</f>
        <v>23932003.720000003</v>
      </c>
      <c r="F42" s="41" t="e">
        <f>SUM(F27:F40)</f>
        <v>#REF!</v>
      </c>
      <c r="G42" s="29">
        <f>E42/C42</f>
        <v>0.45289974390502963</v>
      </c>
      <c r="J42" s="16"/>
    </row>
    <row r="43" spans="2:6" ht="12.75">
      <c r="B43" s="46"/>
      <c r="C43" s="46"/>
      <c r="D43" s="46"/>
      <c r="E43" s="46"/>
      <c r="F43" s="46"/>
    </row>
    <row r="44" spans="2:6" ht="12.75">
      <c r="B44" s="46"/>
      <c r="C44" s="46"/>
      <c r="D44" s="46"/>
      <c r="E44" s="46"/>
      <c r="F44" s="46"/>
    </row>
    <row r="45" spans="2:6" ht="12.75">
      <c r="B45" s="46"/>
      <c r="C45" s="46"/>
      <c r="D45" s="46"/>
      <c r="E45" s="46"/>
      <c r="F45" s="46"/>
    </row>
    <row r="46" spans="2:6" ht="12.75">
      <c r="B46" s="46"/>
      <c r="C46" s="46"/>
      <c r="D46" s="46"/>
      <c r="E46" s="46"/>
      <c r="F46" s="46"/>
    </row>
    <row r="47" spans="2:6" ht="12.75">
      <c r="B47" s="46"/>
      <c r="C47" s="46"/>
      <c r="D47" s="46"/>
      <c r="E47" s="46"/>
      <c r="F47" s="46"/>
    </row>
    <row r="48" spans="2:6" ht="12.75">
      <c r="B48" s="46"/>
      <c r="C48" s="46"/>
      <c r="D48" s="46"/>
      <c r="E48" s="46"/>
      <c r="F48" s="46"/>
    </row>
    <row r="49" spans="2:8" ht="12.75">
      <c r="B49" s="46"/>
      <c r="C49" s="46"/>
      <c r="D49" s="46"/>
      <c r="E49" s="46"/>
      <c r="F49" s="46"/>
      <c r="H49" s="33"/>
    </row>
    <row r="50" spans="2:8" ht="12.75">
      <c r="B50" s="46"/>
      <c r="C50" s="46"/>
      <c r="D50" s="46"/>
      <c r="E50" s="46"/>
      <c r="F50" s="46"/>
      <c r="H50" s="33"/>
    </row>
    <row r="51" spans="2:8" ht="12.75">
      <c r="B51" s="46"/>
      <c r="C51" s="46"/>
      <c r="D51" s="46"/>
      <c r="E51" s="46"/>
      <c r="F51" s="46"/>
      <c r="H51" s="33"/>
    </row>
  </sheetData>
  <sheetProtection/>
  <mergeCells count="14">
    <mergeCell ref="A1:A3"/>
    <mergeCell ref="B1:B3"/>
    <mergeCell ref="C1:C3"/>
    <mergeCell ref="F1:F3"/>
    <mergeCell ref="G1:G3"/>
    <mergeCell ref="D2:D3"/>
    <mergeCell ref="E2:E3"/>
    <mergeCell ref="A24:A26"/>
    <mergeCell ref="B24:B26"/>
    <mergeCell ref="C24:C26"/>
    <mergeCell ref="F24:F26"/>
    <mergeCell ref="G24:G26"/>
    <mergeCell ref="D25:D26"/>
    <mergeCell ref="E25:E26"/>
  </mergeCells>
  <printOptions horizontalCentered="1" verticalCentered="1"/>
  <pageMargins left="0.5" right="0.5" top="1" bottom="0.5" header="0.25" footer="0.3"/>
  <pageSetup fitToHeight="1" fitToWidth="1" horizontalDpi="300" verticalDpi="300" orientation="landscape" scale="87" r:id="rId1"/>
  <headerFooter>
    <oddHeader>&amp;C&amp;"-,Bold"&amp;12Forest Preserve District of Cook County
Corporate Fund Analysis of Revenue and Expense
As of August
 31, 2013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145" zoomScaleNormal="145" zoomScalePageLayoutView="0" workbookViewId="0" topLeftCell="B28">
      <selection activeCell="D25" sqref="D25:D26"/>
    </sheetView>
  </sheetViews>
  <sheetFormatPr defaultColWidth="12.421875" defaultRowHeight="15"/>
  <cols>
    <col min="1" max="1" width="26.7109375" style="5" customWidth="1"/>
    <col min="2" max="3" width="13.7109375" style="5" customWidth="1"/>
    <col min="4" max="6" width="20.7109375" style="5" customWidth="1"/>
    <col min="7" max="7" width="14.28125" style="5" customWidth="1"/>
    <col min="8" max="8" width="14.421875" style="5" customWidth="1"/>
    <col min="9" max="10" width="15.28125" style="5" customWidth="1"/>
    <col min="11" max="11" width="13.57421875" style="5" customWidth="1"/>
    <col min="12" max="12" width="15.28125" style="5" customWidth="1"/>
    <col min="13" max="13" width="15.421875" style="5" customWidth="1"/>
    <col min="14" max="14" width="8.00390625" style="5" customWidth="1"/>
    <col min="15" max="15" width="18.57421875" style="5" customWidth="1"/>
    <col min="16" max="16" width="13.7109375" style="5" customWidth="1"/>
    <col min="17" max="18" width="12.421875" style="5" customWidth="1"/>
    <col min="19" max="19" width="11.57421875" style="5" customWidth="1"/>
    <col min="20" max="16384" width="12.421875" style="5" customWidth="1"/>
  </cols>
  <sheetData>
    <row r="1" spans="1:11" ht="15" customHeight="1">
      <c r="A1" s="108" t="s">
        <v>0</v>
      </c>
      <c r="B1" s="114" t="s">
        <v>34</v>
      </c>
      <c r="C1" s="114" t="s">
        <v>88</v>
      </c>
      <c r="D1" s="19">
        <v>41091</v>
      </c>
      <c r="E1" s="19">
        <v>41456</v>
      </c>
      <c r="F1" s="110" t="s">
        <v>28</v>
      </c>
      <c r="G1" s="112" t="s">
        <v>29</v>
      </c>
      <c r="H1" s="6"/>
      <c r="I1" s="6"/>
      <c r="J1" s="6"/>
      <c r="K1" s="6"/>
    </row>
    <row r="2" spans="1:11" ht="15" customHeight="1">
      <c r="A2" s="108"/>
      <c r="B2" s="115" t="s">
        <v>25</v>
      </c>
      <c r="C2" s="115" t="s">
        <v>25</v>
      </c>
      <c r="D2" s="110" t="s">
        <v>26</v>
      </c>
      <c r="E2" s="110" t="s">
        <v>26</v>
      </c>
      <c r="F2" s="110"/>
      <c r="G2" s="112"/>
      <c r="H2" s="11"/>
      <c r="I2" s="11"/>
      <c r="J2" s="6"/>
      <c r="K2" s="11"/>
    </row>
    <row r="3" spans="1:11" ht="15" customHeight="1">
      <c r="A3" s="108"/>
      <c r="B3" s="106"/>
      <c r="C3" s="106"/>
      <c r="D3" s="110"/>
      <c r="E3" s="110"/>
      <c r="F3" s="110"/>
      <c r="G3" s="112"/>
      <c r="H3" s="11"/>
      <c r="I3" s="11"/>
      <c r="J3" s="11"/>
      <c r="K3" s="11"/>
    </row>
    <row r="4" spans="1:11" ht="15" customHeight="1">
      <c r="A4" s="20" t="s">
        <v>30</v>
      </c>
      <c r="B4" s="34">
        <f>41363334-1568167</f>
        <v>39795167</v>
      </c>
      <c r="C4" s="34">
        <f>46708559-1401257</f>
        <v>45307302</v>
      </c>
      <c r="D4" s="35" t="e">
        <f>#REF!</f>
        <v>#REF!</v>
      </c>
      <c r="E4" s="35">
        <f>'2013 PROFIT &amp; LOSSES'!AA5</f>
        <v>24598290.61</v>
      </c>
      <c r="F4" s="35" t="e">
        <f>E4-D4</f>
        <v>#REF!</v>
      </c>
      <c r="G4" s="42">
        <f>E4/C4</f>
        <v>0.5429211081692747</v>
      </c>
      <c r="H4" s="12"/>
      <c r="I4" s="12"/>
      <c r="J4" s="8"/>
      <c r="K4" s="12"/>
    </row>
    <row r="5" spans="1:11" ht="15" customHeight="1">
      <c r="A5" s="20" t="s">
        <v>31</v>
      </c>
      <c r="B5" s="34">
        <v>5200000</v>
      </c>
      <c r="C5" s="34">
        <v>834100</v>
      </c>
      <c r="D5" s="35" t="e">
        <f>#REF!</f>
        <v>#REF!</v>
      </c>
      <c r="E5" s="35">
        <f>'2013 PROFIT &amp; LOSSES'!AA8</f>
        <v>830410.11</v>
      </c>
      <c r="F5" s="35" t="e">
        <f aca="true" t="shared" si="0" ref="F5:F19">E5-D5</f>
        <v>#REF!</v>
      </c>
      <c r="G5" s="42">
        <f aca="true" t="shared" si="1" ref="G5:G18">E5/C5</f>
        <v>0.9955762018942572</v>
      </c>
      <c r="H5" s="12"/>
      <c r="I5" s="32"/>
      <c r="J5" s="32"/>
      <c r="K5" s="12"/>
    </row>
    <row r="6" spans="1:11" ht="15" customHeight="1">
      <c r="A6" s="20" t="s">
        <v>1</v>
      </c>
      <c r="B6" s="34">
        <v>900000</v>
      </c>
      <c r="C6" s="34">
        <v>990000</v>
      </c>
      <c r="D6" s="35" t="e">
        <f>#REF!</f>
        <v>#REF!</v>
      </c>
      <c r="E6" s="35">
        <f>'2013 PROFIT &amp; LOSSES'!AA11</f>
        <v>195079.73</v>
      </c>
      <c r="F6" s="35" t="e">
        <f t="shared" si="0"/>
        <v>#REF!</v>
      </c>
      <c r="G6" s="42">
        <f t="shared" si="1"/>
        <v>0.19705023232323232</v>
      </c>
      <c r="H6" s="12"/>
      <c r="I6" s="31"/>
      <c r="J6" s="31"/>
      <c r="K6" s="12"/>
    </row>
    <row r="7" spans="1:11" ht="15" customHeight="1">
      <c r="A7" s="20" t="s">
        <v>2</v>
      </c>
      <c r="B7" s="34">
        <v>150000</v>
      </c>
      <c r="C7" s="34">
        <v>200000</v>
      </c>
      <c r="D7" s="35" t="e">
        <f>#REF!</f>
        <v>#REF!</v>
      </c>
      <c r="E7" s="35">
        <f>'2013 PROFIT &amp; LOSSES'!AA14</f>
        <v>109180.07</v>
      </c>
      <c r="F7" s="35" t="e">
        <f>E7-D7</f>
        <v>#REF!</v>
      </c>
      <c r="G7" s="42">
        <f t="shared" si="1"/>
        <v>0.54590035</v>
      </c>
      <c r="H7" s="12"/>
      <c r="I7" s="12"/>
      <c r="J7" s="8"/>
      <c r="K7" s="12"/>
    </row>
    <row r="8" spans="1:11" ht="15" customHeight="1">
      <c r="A8" s="20" t="s">
        <v>3</v>
      </c>
      <c r="B8" s="34">
        <v>1751670</v>
      </c>
      <c r="C8" s="34">
        <f>1165700+234300</f>
        <v>1400000</v>
      </c>
      <c r="D8" s="35" t="e">
        <f>#REF!</f>
        <v>#REF!</v>
      </c>
      <c r="E8" s="35">
        <f>'2013 PROFIT &amp; LOSSES'!AA16</f>
        <v>1050090.13</v>
      </c>
      <c r="F8" s="35" t="e">
        <f>E8-D8</f>
        <v>#REF!</v>
      </c>
      <c r="G8" s="42">
        <f t="shared" si="1"/>
        <v>0.7500643785714285</v>
      </c>
      <c r="H8" s="12"/>
      <c r="I8" s="12"/>
      <c r="J8" s="8"/>
      <c r="K8" s="12"/>
    </row>
    <row r="9" spans="1:11" ht="15" customHeight="1">
      <c r="A9" s="20" t="s">
        <v>4</v>
      </c>
      <c r="B9" s="34">
        <v>250000</v>
      </c>
      <c r="C9" s="34">
        <v>250000</v>
      </c>
      <c r="D9" s="35" t="e">
        <f>#REF!</f>
        <v>#REF!</v>
      </c>
      <c r="E9" s="35">
        <f>'2013 PROFIT &amp; LOSSES'!AA15</f>
        <v>211640.95</v>
      </c>
      <c r="F9" s="35" t="e">
        <f t="shared" si="0"/>
        <v>#REF!</v>
      </c>
      <c r="G9" s="42">
        <f t="shared" si="1"/>
        <v>0.8465638000000001</v>
      </c>
      <c r="H9" s="12"/>
      <c r="I9" s="12"/>
      <c r="J9" s="8"/>
      <c r="K9" s="12"/>
    </row>
    <row r="10" spans="1:12" ht="15" customHeight="1">
      <c r="A10" s="20" t="s">
        <v>5</v>
      </c>
      <c r="B10" s="34">
        <v>25000</v>
      </c>
      <c r="C10" s="34">
        <v>15000</v>
      </c>
      <c r="D10" s="35" t="e">
        <f>#REF!</f>
        <v>#REF!</v>
      </c>
      <c r="E10" s="35">
        <f>'2013 PROFIT &amp; LOSSES'!AA17</f>
        <v>5310</v>
      </c>
      <c r="F10" s="35" t="e">
        <f t="shared" si="0"/>
        <v>#REF!</v>
      </c>
      <c r="G10" s="42">
        <f t="shared" si="1"/>
        <v>0.354</v>
      </c>
      <c r="H10" s="12"/>
      <c r="I10" s="12"/>
      <c r="J10" s="8"/>
      <c r="K10" s="12"/>
      <c r="L10" s="4"/>
    </row>
    <row r="11" spans="1:11" ht="15" customHeight="1">
      <c r="A11" s="20" t="s">
        <v>6</v>
      </c>
      <c r="B11" s="34">
        <v>35000</v>
      </c>
      <c r="C11" s="34">
        <v>40000</v>
      </c>
      <c r="D11" s="35" t="e">
        <f>#REF!</f>
        <v>#REF!</v>
      </c>
      <c r="E11" s="35">
        <f>'2013 PROFIT &amp; LOSSES'!AA19</f>
        <v>38887</v>
      </c>
      <c r="F11" s="35" t="e">
        <f t="shared" si="0"/>
        <v>#REF!</v>
      </c>
      <c r="G11" s="42">
        <f t="shared" si="1"/>
        <v>0.972175</v>
      </c>
      <c r="H11" s="12"/>
      <c r="I11" s="12"/>
      <c r="J11" s="8"/>
      <c r="K11" s="12"/>
    </row>
    <row r="12" spans="1:11" ht="15" customHeight="1">
      <c r="A12" s="20" t="s">
        <v>7</v>
      </c>
      <c r="B12" s="34">
        <v>50000</v>
      </c>
      <c r="C12" s="34">
        <v>100000</v>
      </c>
      <c r="D12" s="35" t="e">
        <f>#REF!</f>
        <v>#REF!</v>
      </c>
      <c r="E12" s="35">
        <f>'2013 PROFIT &amp; LOSSES'!AA20</f>
        <v>112489.95</v>
      </c>
      <c r="F12" s="35" t="e">
        <f t="shared" si="0"/>
        <v>#REF!</v>
      </c>
      <c r="G12" s="42">
        <f t="shared" si="1"/>
        <v>1.1248995</v>
      </c>
      <c r="H12" s="12"/>
      <c r="I12" s="12"/>
      <c r="J12" s="8"/>
      <c r="K12" s="12"/>
    </row>
    <row r="13" spans="1:12" ht="15" customHeight="1">
      <c r="A13" s="20" t="s">
        <v>8</v>
      </c>
      <c r="B13" s="34">
        <v>850000</v>
      </c>
      <c r="C13" s="34">
        <v>890000</v>
      </c>
      <c r="D13" s="35" t="e">
        <f>#REF!</f>
        <v>#REF!</v>
      </c>
      <c r="E13" s="35">
        <f>'2013 PROFIT &amp; LOSSES'!AA12</f>
        <v>858084.13</v>
      </c>
      <c r="F13" s="35" t="e">
        <f t="shared" si="0"/>
        <v>#REF!</v>
      </c>
      <c r="G13" s="42">
        <f t="shared" si="1"/>
        <v>0.9641394719101124</v>
      </c>
      <c r="H13" s="12"/>
      <c r="I13" s="12"/>
      <c r="J13" s="8"/>
      <c r="K13" s="12"/>
      <c r="L13" s="4"/>
    </row>
    <row r="14" spans="1:11" ht="15" customHeight="1">
      <c r="A14" s="20" t="s">
        <v>9</v>
      </c>
      <c r="B14" s="34">
        <v>250000</v>
      </c>
      <c r="C14" s="34">
        <v>400000</v>
      </c>
      <c r="D14" s="35" t="e">
        <f>#REF!</f>
        <v>#REF!</v>
      </c>
      <c r="E14" s="35">
        <f>'2013 PROFIT &amp; LOSSES'!AA13</f>
        <v>306064.26</v>
      </c>
      <c r="F14" s="35" t="e">
        <f t="shared" si="0"/>
        <v>#REF!</v>
      </c>
      <c r="G14" s="42">
        <f t="shared" si="1"/>
        <v>0.76516065</v>
      </c>
      <c r="H14" s="12"/>
      <c r="I14" s="12"/>
      <c r="J14" s="8"/>
      <c r="K14" s="12"/>
    </row>
    <row r="15" spans="1:11" ht="15" customHeight="1">
      <c r="A15" s="20" t="s">
        <v>10</v>
      </c>
      <c r="B15" s="34">
        <v>175000</v>
      </c>
      <c r="C15" s="34">
        <v>320000</v>
      </c>
      <c r="D15" s="35" t="e">
        <f>#REF!</f>
        <v>#REF!</v>
      </c>
      <c r="E15" s="35">
        <f>'2013 PROFIT &amp; LOSSES'!AA18</f>
        <v>164202.89</v>
      </c>
      <c r="F15" s="35" t="e">
        <f t="shared" si="0"/>
        <v>#REF!</v>
      </c>
      <c r="G15" s="42">
        <f t="shared" si="1"/>
        <v>0.51313403125</v>
      </c>
      <c r="H15" s="12"/>
      <c r="I15" s="12"/>
      <c r="J15" s="8"/>
      <c r="K15" s="12"/>
    </row>
    <row r="16" spans="1:11" ht="12.75">
      <c r="A16" s="20" t="s">
        <v>11</v>
      </c>
      <c r="B16" s="34">
        <v>50000</v>
      </c>
      <c r="C16" s="34">
        <v>150000</v>
      </c>
      <c r="D16" s="35" t="e">
        <f>#REF!</f>
        <v>#REF!</v>
      </c>
      <c r="E16" s="35">
        <f>'2013 PROFIT &amp; LOSSES'!AA21</f>
        <v>21572.83</v>
      </c>
      <c r="F16" s="35" t="e">
        <f t="shared" si="0"/>
        <v>#REF!</v>
      </c>
      <c r="G16" s="42">
        <f t="shared" si="1"/>
        <v>0.14381886666666668</v>
      </c>
      <c r="H16" s="12"/>
      <c r="I16" s="12"/>
      <c r="J16" s="8"/>
      <c r="K16" s="12"/>
    </row>
    <row r="17" spans="1:11" ht="15" customHeight="1" hidden="1">
      <c r="A17" s="20" t="s">
        <v>12</v>
      </c>
      <c r="B17" s="34"/>
      <c r="C17" s="34"/>
      <c r="D17" s="35" t="e">
        <f>#REF!</f>
        <v>#REF!</v>
      </c>
      <c r="E17" s="35">
        <v>0</v>
      </c>
      <c r="F17" s="35" t="e">
        <f t="shared" si="0"/>
        <v>#REF!</v>
      </c>
      <c r="G17" s="42" t="e">
        <f t="shared" si="1"/>
        <v>#DIV/0!</v>
      </c>
      <c r="H17" s="12"/>
      <c r="I17" s="12"/>
      <c r="J17" s="8"/>
      <c r="K17" s="12"/>
    </row>
    <row r="18" spans="1:11" ht="12.75" customHeight="1" hidden="1">
      <c r="A18" s="20"/>
      <c r="B18" s="34"/>
      <c r="C18" s="34"/>
      <c r="D18" s="35" t="e">
        <f>#REF!</f>
        <v>#REF!</v>
      </c>
      <c r="E18" s="35">
        <v>0</v>
      </c>
      <c r="F18" s="35" t="e">
        <f t="shared" si="0"/>
        <v>#REF!</v>
      </c>
      <c r="G18" s="42" t="e">
        <f t="shared" si="1"/>
        <v>#DIV/0!</v>
      </c>
      <c r="H18" s="2"/>
      <c r="I18" s="2"/>
      <c r="J18" s="3"/>
      <c r="K18" s="2"/>
    </row>
    <row r="19" spans="1:11" ht="15" customHeight="1">
      <c r="A19" s="26" t="s">
        <v>13</v>
      </c>
      <c r="B19" s="36">
        <v>8531566</v>
      </c>
      <c r="C19" s="36">
        <v>1945323</v>
      </c>
      <c r="D19" s="35">
        <v>0</v>
      </c>
      <c r="E19" s="37">
        <v>0</v>
      </c>
      <c r="F19" s="37">
        <f t="shared" si="0"/>
        <v>0</v>
      </c>
      <c r="G19" s="43"/>
      <c r="H19" s="12"/>
      <c r="I19" s="12"/>
      <c r="J19" s="8"/>
      <c r="K19" s="12"/>
    </row>
    <row r="20" spans="1:11" ht="15" customHeight="1">
      <c r="A20" s="27"/>
      <c r="B20" s="38"/>
      <c r="C20" s="38"/>
      <c r="D20" s="39"/>
      <c r="E20" s="39"/>
      <c r="F20" s="39"/>
      <c r="G20" s="44"/>
      <c r="H20" s="12"/>
      <c r="I20" s="12"/>
      <c r="J20" s="8"/>
      <c r="K20" s="12"/>
    </row>
    <row r="21" spans="1:14" s="10" customFormat="1" ht="18" customHeight="1">
      <c r="A21" s="18" t="s">
        <v>27</v>
      </c>
      <c r="B21" s="40">
        <f>SUM(B4:B19)</f>
        <v>58013403</v>
      </c>
      <c r="C21" s="40">
        <f>SUM(C4:C19)</f>
        <v>52841725</v>
      </c>
      <c r="D21" s="41" t="e">
        <f>D19+D16+D15+D14+D13+D12+D11+D10+D9+D8+D7+D6+D5+D4</f>
        <v>#REF!</v>
      </c>
      <c r="E21" s="41">
        <f>SUM(E4:E19)</f>
        <v>28501302.659999996</v>
      </c>
      <c r="F21" s="41" t="e">
        <f>SUM(F4:F19)</f>
        <v>#REF!</v>
      </c>
      <c r="G21" s="45">
        <f>E21/C21</f>
        <v>0.5393711628452704</v>
      </c>
      <c r="H21" s="12"/>
      <c r="I21" s="12">
        <f>E21-20900004.28</f>
        <v>7601298.379999995</v>
      </c>
      <c r="J21" s="8"/>
      <c r="K21" s="12"/>
      <c r="L21" s="8"/>
      <c r="N21" s="17"/>
    </row>
    <row r="22" spans="1:11" ht="12" customHeight="1">
      <c r="A22" s="1"/>
      <c r="B22" s="4"/>
      <c r="C22" s="4"/>
      <c r="D22" s="4"/>
      <c r="E22" s="4"/>
      <c r="F22" s="13"/>
      <c r="G22" s="13"/>
      <c r="H22" s="2"/>
      <c r="I22" s="2"/>
      <c r="J22" s="3"/>
      <c r="K22" s="2"/>
    </row>
    <row r="23" spans="1:10" ht="12" customHeight="1">
      <c r="A23" s="22"/>
      <c r="B23" s="23"/>
      <c r="C23" s="22"/>
      <c r="D23" s="92"/>
      <c r="E23" s="23"/>
      <c r="F23" s="24"/>
      <c r="G23" s="25"/>
      <c r="H23" s="14"/>
      <c r="I23" s="14"/>
      <c r="J23" s="14"/>
    </row>
    <row r="24" spans="1:9" ht="15" customHeight="1">
      <c r="A24" s="106" t="s">
        <v>14</v>
      </c>
      <c r="B24" s="106" t="s">
        <v>34</v>
      </c>
      <c r="C24" s="106" t="s">
        <v>88</v>
      </c>
      <c r="D24" s="19">
        <v>41091</v>
      </c>
      <c r="E24" s="19">
        <v>41456</v>
      </c>
      <c r="F24" s="109" t="s">
        <v>28</v>
      </c>
      <c r="G24" s="111" t="s">
        <v>29</v>
      </c>
      <c r="H24" s="6"/>
      <c r="I24" s="6"/>
    </row>
    <row r="25" spans="1:9" ht="15" customHeight="1">
      <c r="A25" s="107"/>
      <c r="B25" s="108"/>
      <c r="C25" s="108"/>
      <c r="D25" s="113" t="s">
        <v>26</v>
      </c>
      <c r="E25" s="110" t="s">
        <v>26</v>
      </c>
      <c r="F25" s="110"/>
      <c r="G25" s="112"/>
      <c r="H25" s="90"/>
      <c r="I25" s="11"/>
    </row>
    <row r="26" spans="1:10" ht="15" customHeight="1">
      <c r="A26" s="107"/>
      <c r="B26" s="108"/>
      <c r="C26" s="108"/>
      <c r="D26" s="109"/>
      <c r="E26" s="110"/>
      <c r="F26" s="110"/>
      <c r="G26" s="112"/>
      <c r="H26" s="11"/>
      <c r="I26" s="11"/>
      <c r="J26" s="15"/>
    </row>
    <row r="27" spans="1:10" ht="15" customHeight="1">
      <c r="A27" s="20" t="s">
        <v>15</v>
      </c>
      <c r="B27" s="34">
        <v>2100290</v>
      </c>
      <c r="C27" s="34">
        <v>1884258</v>
      </c>
      <c r="D27" s="35" t="e">
        <f>#REF!</f>
        <v>#REF!</v>
      </c>
      <c r="E27" s="35">
        <f>'2013 PROFIT &amp; LOSSES'!AA28</f>
        <v>953326.4500000001</v>
      </c>
      <c r="F27" s="35" t="e">
        <f>E27-D27</f>
        <v>#REF!</v>
      </c>
      <c r="G27" s="21">
        <f>E27/C27</f>
        <v>0.5059426309985151</v>
      </c>
      <c r="H27" s="8"/>
      <c r="I27" s="12"/>
      <c r="J27" s="15"/>
    </row>
    <row r="28" spans="1:10" ht="15" customHeight="1">
      <c r="A28" s="20" t="s">
        <v>16</v>
      </c>
      <c r="B28" s="34">
        <v>1787221</v>
      </c>
      <c r="C28" s="34">
        <v>2054581</v>
      </c>
      <c r="D28" s="35" t="e">
        <f>#REF!</f>
        <v>#REF!</v>
      </c>
      <c r="E28" s="35">
        <f>'2013 PROFIT &amp; LOSSES'!AA32</f>
        <v>865870.95</v>
      </c>
      <c r="F28" s="35" t="e">
        <f>E28-D28</f>
        <v>#REF!</v>
      </c>
      <c r="G28" s="21">
        <f aca="true" t="shared" si="2" ref="G28:G38">E28/C28</f>
        <v>0.4214343216451432</v>
      </c>
      <c r="H28" s="8"/>
      <c r="I28" s="9"/>
      <c r="J28" s="15"/>
    </row>
    <row r="29" spans="1:10" ht="15" customHeight="1">
      <c r="A29" s="20" t="s">
        <v>87</v>
      </c>
      <c r="B29" s="34">
        <v>696162</v>
      </c>
      <c r="C29" s="34">
        <v>585246</v>
      </c>
      <c r="D29" s="35" t="e">
        <f>#REF!</f>
        <v>#REF!</v>
      </c>
      <c r="E29" s="35">
        <f>'2013 PROFIT &amp; LOSSES'!AA36</f>
        <v>232744.66</v>
      </c>
      <c r="F29" s="35" t="e">
        <f aca="true" t="shared" si="3" ref="F29:F40">E29-D29</f>
        <v>#REF!</v>
      </c>
      <c r="G29" s="21">
        <f t="shared" si="2"/>
        <v>0.3976868872234923</v>
      </c>
      <c r="H29" s="8"/>
      <c r="I29" s="9"/>
      <c r="J29" s="15"/>
    </row>
    <row r="30" spans="1:10" ht="15" customHeight="1">
      <c r="A30" s="20" t="s">
        <v>17</v>
      </c>
      <c r="B30" s="34">
        <v>7986645</v>
      </c>
      <c r="C30" s="34">
        <v>7653505</v>
      </c>
      <c r="D30" s="35" t="e">
        <f>#REF!</f>
        <v>#REF!</v>
      </c>
      <c r="E30" s="35">
        <f>'2013 PROFIT &amp; LOSSES'!AA40</f>
        <v>3407897.36</v>
      </c>
      <c r="F30" s="35" t="e">
        <f t="shared" si="3"/>
        <v>#REF!</v>
      </c>
      <c r="G30" s="21">
        <f t="shared" si="2"/>
        <v>0.4452727684897312</v>
      </c>
      <c r="H30" s="8"/>
      <c r="I30" s="9"/>
      <c r="J30" s="15"/>
    </row>
    <row r="31" spans="1:10" ht="15" customHeight="1">
      <c r="A31" s="20" t="s">
        <v>18</v>
      </c>
      <c r="B31" s="34">
        <v>20027575</v>
      </c>
      <c r="C31" s="34">
        <v>0</v>
      </c>
      <c r="D31" s="35" t="e">
        <f>#REF!</f>
        <v>#REF!</v>
      </c>
      <c r="E31" s="35">
        <v>0</v>
      </c>
      <c r="F31" s="35" t="e">
        <f>E31-D31</f>
        <v>#REF!</v>
      </c>
      <c r="G31" s="21">
        <v>0</v>
      </c>
      <c r="H31" s="8"/>
      <c r="I31" s="9"/>
      <c r="J31" s="15"/>
    </row>
    <row r="32" spans="1:10" ht="15" customHeight="1">
      <c r="A32" s="20" t="s">
        <v>93</v>
      </c>
      <c r="B32" s="34">
        <v>0</v>
      </c>
      <c r="C32" s="34">
        <v>10504913</v>
      </c>
      <c r="D32" s="35">
        <v>0</v>
      </c>
      <c r="E32" s="35">
        <f>'2013 PROFIT &amp; LOSSES'!AA48</f>
        <v>4256585.59</v>
      </c>
      <c r="F32" s="35">
        <f>E32-D32</f>
        <v>4256585.59</v>
      </c>
      <c r="G32" s="21">
        <f>E32/C32</f>
        <v>0.4051995090297273</v>
      </c>
      <c r="H32" s="8"/>
      <c r="I32" s="9"/>
      <c r="J32" s="15"/>
    </row>
    <row r="33" spans="1:10" ht="15" customHeight="1">
      <c r="A33" s="20" t="s">
        <v>94</v>
      </c>
      <c r="B33" s="34">
        <v>0</v>
      </c>
      <c r="C33" s="34">
        <f>8611145+592000</f>
        <v>9203145</v>
      </c>
      <c r="D33" s="35">
        <v>0</v>
      </c>
      <c r="E33" s="35">
        <f>'2013 PROFIT &amp; LOSSES'!AA52+'2013 PROFIT &amp; LOSSES'!AA56</f>
        <v>3475045.8600000003</v>
      </c>
      <c r="F33" s="35">
        <f>E33-D33</f>
        <v>3475045.8600000003</v>
      </c>
      <c r="G33" s="21">
        <f>E33/C33</f>
        <v>0.37759329663935537</v>
      </c>
      <c r="H33" s="8"/>
      <c r="I33" s="9"/>
      <c r="J33" s="15"/>
    </row>
    <row r="34" spans="1:10" ht="15" customHeight="1">
      <c r="A34" s="20" t="s">
        <v>19</v>
      </c>
      <c r="B34" s="34">
        <v>200000</v>
      </c>
      <c r="C34" s="34">
        <v>250000</v>
      </c>
      <c r="D34" s="35" t="e">
        <f>#REF!</f>
        <v>#REF!</v>
      </c>
      <c r="E34" s="35">
        <f>'2013 PROFIT &amp; LOSSES'!AA60</f>
        <v>63657.64</v>
      </c>
      <c r="F34" s="35" t="e">
        <f t="shared" si="3"/>
        <v>#REF!</v>
      </c>
      <c r="G34" s="21">
        <f t="shared" si="2"/>
        <v>0.25463056</v>
      </c>
      <c r="H34" s="8"/>
      <c r="I34" s="9"/>
      <c r="J34" s="15"/>
    </row>
    <row r="35" spans="1:10" ht="15" customHeight="1">
      <c r="A35" s="91" t="s">
        <v>35</v>
      </c>
      <c r="B35" s="34">
        <v>2707564</v>
      </c>
      <c r="C35" s="34">
        <v>3046935</v>
      </c>
      <c r="D35" s="35" t="e">
        <f>#REF!</f>
        <v>#REF!</v>
      </c>
      <c r="E35" s="35">
        <f>'2013 PROFIT &amp; LOSSES'!AA44</f>
        <v>1042491.66</v>
      </c>
      <c r="F35" s="35" t="e">
        <f t="shared" si="3"/>
        <v>#REF!</v>
      </c>
      <c r="G35" s="21">
        <f t="shared" si="2"/>
        <v>0.3421443713108419</v>
      </c>
      <c r="H35" s="8"/>
      <c r="I35" s="9"/>
      <c r="J35" s="15"/>
    </row>
    <row r="36" spans="1:10" ht="15" customHeight="1">
      <c r="A36" s="20" t="s">
        <v>20</v>
      </c>
      <c r="B36" s="34">
        <v>9633492</v>
      </c>
      <c r="C36" s="34">
        <v>9514640</v>
      </c>
      <c r="D36" s="35" t="e">
        <f>#REF!</f>
        <v>#REF!</v>
      </c>
      <c r="E36" s="35">
        <f>'2013 PROFIT &amp; LOSSES'!AA62</f>
        <v>3966777.09</v>
      </c>
      <c r="F36" s="35" t="e">
        <f t="shared" si="3"/>
        <v>#REF!</v>
      </c>
      <c r="G36" s="21">
        <f t="shared" si="2"/>
        <v>0.41691299828474854</v>
      </c>
      <c r="H36" s="8"/>
      <c r="I36" s="9"/>
      <c r="J36" s="15"/>
    </row>
    <row r="37" spans="1:10" ht="15" customHeight="1">
      <c r="A37" s="20" t="s">
        <v>21</v>
      </c>
      <c r="B37" s="34">
        <v>1429731</v>
      </c>
      <c r="C37" s="34">
        <v>1365971</v>
      </c>
      <c r="D37" s="35" t="e">
        <f>#REF!</f>
        <v>#REF!</v>
      </c>
      <c r="E37" s="35">
        <f>'2013 PROFIT &amp; LOSSES'!AA66</f>
        <v>601646.44</v>
      </c>
      <c r="F37" s="35" t="e">
        <f t="shared" si="3"/>
        <v>#REF!</v>
      </c>
      <c r="G37" s="21">
        <f t="shared" si="2"/>
        <v>0.4404533039134798</v>
      </c>
      <c r="H37" s="8"/>
      <c r="I37" s="9"/>
      <c r="J37" s="15"/>
    </row>
    <row r="38" spans="1:10" ht="15" customHeight="1">
      <c r="A38" s="20" t="s">
        <v>22</v>
      </c>
      <c r="B38" s="34">
        <v>1735303</v>
      </c>
      <c r="C38" s="34">
        <v>1813531</v>
      </c>
      <c r="D38" s="35" t="e">
        <f>#REF!</f>
        <v>#REF!</v>
      </c>
      <c r="E38" s="35">
        <f>'2013 PROFIT &amp; LOSSES'!AA70</f>
        <v>856857.11</v>
      </c>
      <c r="F38" s="35" t="e">
        <f t="shared" si="3"/>
        <v>#REF!</v>
      </c>
      <c r="G38" s="21">
        <f t="shared" si="2"/>
        <v>0.4724799906921911</v>
      </c>
      <c r="H38" s="8"/>
      <c r="I38" s="9"/>
      <c r="J38" s="16"/>
    </row>
    <row r="39" spans="1:10" ht="15" customHeight="1">
      <c r="A39" s="20" t="s">
        <v>23</v>
      </c>
      <c r="B39" s="34">
        <v>2709420</v>
      </c>
      <c r="C39" s="34">
        <v>3415000</v>
      </c>
      <c r="D39" s="35" t="e">
        <f>#REF!</f>
        <v>#REF!</v>
      </c>
      <c r="E39" s="35">
        <f>'2013 PROFIT &amp; LOSSES'!AA74</f>
        <v>1120532.87</v>
      </c>
      <c r="F39" s="35" t="e">
        <f>E39-D39</f>
        <v>#REF!</v>
      </c>
      <c r="G39" s="21">
        <f>E39/C39</f>
        <v>0.3281208989751098</v>
      </c>
      <c r="H39" s="8"/>
      <c r="I39" s="9"/>
      <c r="J39" s="16"/>
    </row>
    <row r="40" spans="1:9" ht="15" customHeight="1">
      <c r="A40" s="26" t="s">
        <v>24</v>
      </c>
      <c r="B40" s="36">
        <v>7000000</v>
      </c>
      <c r="C40" s="36">
        <v>1550000</v>
      </c>
      <c r="D40" s="37">
        <v>0</v>
      </c>
      <c r="E40" s="35">
        <v>0</v>
      </c>
      <c r="F40" s="35">
        <f t="shared" si="3"/>
        <v>0</v>
      </c>
      <c r="G40" s="28"/>
      <c r="H40" s="3"/>
      <c r="I40" s="7"/>
    </row>
    <row r="41" spans="1:9" ht="15" customHeight="1">
      <c r="A41" s="27"/>
      <c r="B41" s="38"/>
      <c r="C41" s="38"/>
      <c r="D41" s="39"/>
      <c r="E41" s="39"/>
      <c r="F41" s="39"/>
      <c r="G41" s="30"/>
      <c r="H41" s="3"/>
      <c r="I41" s="7"/>
    </row>
    <row r="42" spans="1:10" s="10" customFormat="1" ht="18" customHeight="1">
      <c r="A42" s="18" t="s">
        <v>27</v>
      </c>
      <c r="B42" s="40">
        <f>SUM(B27:B40)</f>
        <v>58013403</v>
      </c>
      <c r="C42" s="40">
        <f>SUM(C27:C40)</f>
        <v>52841725</v>
      </c>
      <c r="D42" s="41" t="e">
        <f>SUM(D27:D40)</f>
        <v>#REF!</v>
      </c>
      <c r="E42" s="41">
        <f>SUM(E27:E40)</f>
        <v>20843433.680000003</v>
      </c>
      <c r="F42" s="41" t="e">
        <f>SUM(F27:F40)</f>
        <v>#REF!</v>
      </c>
      <c r="G42" s="29">
        <f>E42/C42</f>
        <v>0.39445028866866105</v>
      </c>
      <c r="J42" s="16"/>
    </row>
    <row r="43" spans="2:6" ht="12.75">
      <c r="B43" s="46"/>
      <c r="C43" s="46"/>
      <c r="D43" s="46"/>
      <c r="E43" s="46"/>
      <c r="F43" s="46"/>
    </row>
    <row r="44" spans="2:6" ht="12.75">
      <c r="B44" s="46"/>
      <c r="C44" s="46"/>
      <c r="D44" s="46"/>
      <c r="E44" s="46"/>
      <c r="F44" s="46"/>
    </row>
    <row r="45" spans="2:6" ht="12.75">
      <c r="B45" s="46"/>
      <c r="C45" s="46"/>
      <c r="D45" s="46"/>
      <c r="E45" s="46"/>
      <c r="F45" s="46"/>
    </row>
    <row r="46" spans="2:6" ht="12.75">
      <c r="B46" s="46"/>
      <c r="C46" s="46"/>
      <c r="D46" s="46"/>
      <c r="E46" s="46"/>
      <c r="F46" s="46"/>
    </row>
    <row r="47" spans="2:6" ht="12.75">
      <c r="B47" s="46"/>
      <c r="C47" s="46"/>
      <c r="D47" s="46"/>
      <c r="E47" s="46"/>
      <c r="F47" s="46"/>
    </row>
    <row r="48" spans="2:6" ht="12.75">
      <c r="B48" s="46"/>
      <c r="C48" s="46"/>
      <c r="D48" s="46"/>
      <c r="E48" s="46"/>
      <c r="F48" s="46"/>
    </row>
    <row r="49" spans="2:8" ht="12.75">
      <c r="B49" s="46"/>
      <c r="C49" s="46"/>
      <c r="D49" s="46"/>
      <c r="E49" s="46"/>
      <c r="F49" s="46"/>
      <c r="H49" s="33"/>
    </row>
    <row r="50" spans="2:8" ht="12.75">
      <c r="B50" s="46"/>
      <c r="C50" s="46"/>
      <c r="D50" s="46"/>
      <c r="E50" s="46"/>
      <c r="F50" s="46"/>
      <c r="H50" s="33"/>
    </row>
    <row r="51" spans="2:8" ht="12.75">
      <c r="B51" s="46"/>
      <c r="C51" s="46"/>
      <c r="D51" s="46"/>
      <c r="E51" s="46"/>
      <c r="F51" s="46"/>
      <c r="H51" s="33"/>
    </row>
  </sheetData>
  <sheetProtection/>
  <mergeCells count="14">
    <mergeCell ref="A24:A26"/>
    <mergeCell ref="B24:B26"/>
    <mergeCell ref="C24:C26"/>
    <mergeCell ref="F24:F26"/>
    <mergeCell ref="G24:G26"/>
    <mergeCell ref="D25:D26"/>
    <mergeCell ref="E25:E26"/>
    <mergeCell ref="A1:A3"/>
    <mergeCell ref="B1:B3"/>
    <mergeCell ref="C1:C3"/>
    <mergeCell ref="F1:F3"/>
    <mergeCell ref="G1:G3"/>
    <mergeCell ref="D2:D3"/>
    <mergeCell ref="E2:E3"/>
  </mergeCells>
  <printOptions horizontalCentered="1" verticalCentered="1"/>
  <pageMargins left="0.5" right="0.5" top="1" bottom="0.5" header="0.25" footer="0.3"/>
  <pageSetup fitToHeight="1" fitToWidth="1" horizontalDpi="300" verticalDpi="300" orientation="landscape" scale="87" r:id="rId1"/>
  <headerFooter>
    <oddHeader>&amp;C&amp;"-,Bold"&amp;12Forest Preserve District of Cook County
Corporate Fund Analysis of Revenue and Expense
As of July 31, 2013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145" zoomScaleNormal="145" zoomScalePageLayoutView="0" workbookViewId="0" topLeftCell="A1">
      <selection activeCell="E5" sqref="E5"/>
    </sheetView>
  </sheetViews>
  <sheetFormatPr defaultColWidth="12.421875" defaultRowHeight="15"/>
  <cols>
    <col min="1" max="1" width="26.7109375" style="5" customWidth="1"/>
    <col min="2" max="3" width="13.7109375" style="5" customWidth="1"/>
    <col min="4" max="6" width="20.7109375" style="5" customWidth="1"/>
    <col min="7" max="7" width="14.28125" style="5" customWidth="1"/>
    <col min="8" max="8" width="14.421875" style="5" customWidth="1"/>
    <col min="9" max="10" width="15.28125" style="5" customWidth="1"/>
    <col min="11" max="11" width="13.57421875" style="5" customWidth="1"/>
    <col min="12" max="12" width="15.28125" style="5" customWidth="1"/>
    <col min="13" max="13" width="15.421875" style="5" customWidth="1"/>
    <col min="14" max="14" width="8.00390625" style="5" customWidth="1"/>
    <col min="15" max="15" width="18.57421875" style="5" customWidth="1"/>
    <col min="16" max="16" width="13.7109375" style="5" customWidth="1"/>
    <col min="17" max="18" width="12.421875" style="5" customWidth="1"/>
    <col min="19" max="19" width="11.57421875" style="5" customWidth="1"/>
    <col min="20" max="16384" width="12.421875" style="5" customWidth="1"/>
  </cols>
  <sheetData>
    <row r="1" spans="1:11" ht="15" customHeight="1">
      <c r="A1" s="108" t="s">
        <v>0</v>
      </c>
      <c r="B1" s="114" t="s">
        <v>34</v>
      </c>
      <c r="C1" s="114" t="s">
        <v>88</v>
      </c>
      <c r="D1" s="19">
        <v>41061</v>
      </c>
      <c r="E1" s="19">
        <v>41426</v>
      </c>
      <c r="F1" s="110" t="s">
        <v>28</v>
      </c>
      <c r="G1" s="112" t="s">
        <v>29</v>
      </c>
      <c r="H1" s="6"/>
      <c r="I1" s="6"/>
      <c r="J1" s="6"/>
      <c r="K1" s="6"/>
    </row>
    <row r="2" spans="1:11" ht="15" customHeight="1">
      <c r="A2" s="108"/>
      <c r="B2" s="115" t="s">
        <v>25</v>
      </c>
      <c r="C2" s="115" t="s">
        <v>25</v>
      </c>
      <c r="D2" s="110" t="s">
        <v>26</v>
      </c>
      <c r="E2" s="110" t="s">
        <v>26</v>
      </c>
      <c r="F2" s="110"/>
      <c r="G2" s="112"/>
      <c r="H2" s="11"/>
      <c r="I2" s="11"/>
      <c r="J2" s="6"/>
      <c r="K2" s="11"/>
    </row>
    <row r="3" spans="1:11" ht="15" customHeight="1">
      <c r="A3" s="108"/>
      <c r="B3" s="106"/>
      <c r="C3" s="106"/>
      <c r="D3" s="110"/>
      <c r="E3" s="110"/>
      <c r="F3" s="110"/>
      <c r="G3" s="112"/>
      <c r="H3" s="11"/>
      <c r="I3" s="11"/>
      <c r="J3" s="11"/>
      <c r="K3" s="11"/>
    </row>
    <row r="4" spans="1:11" ht="15" customHeight="1">
      <c r="A4" s="20" t="s">
        <v>30</v>
      </c>
      <c r="B4" s="34">
        <f>41363334-1568167</f>
        <v>39795167</v>
      </c>
      <c r="C4" s="34">
        <f>46708559-1401257</f>
        <v>45307302</v>
      </c>
      <c r="D4" s="35" t="e">
        <f>#REF!</f>
        <v>#REF!</v>
      </c>
      <c r="E4" s="35">
        <f>'2013 PROFIT &amp; LOSSES'!V5</f>
        <v>19128414.470000003</v>
      </c>
      <c r="F4" s="35" t="e">
        <f>E4-D4</f>
        <v>#REF!</v>
      </c>
      <c r="G4" s="42">
        <f>E4/C4</f>
        <v>0.422192750960982</v>
      </c>
      <c r="H4" s="12"/>
      <c r="I4" s="12"/>
      <c r="J4" s="8"/>
      <c r="K4" s="12"/>
    </row>
    <row r="5" spans="1:11" ht="15" customHeight="1">
      <c r="A5" s="20" t="s">
        <v>31</v>
      </c>
      <c r="B5" s="34">
        <v>5200000</v>
      </c>
      <c r="C5" s="34">
        <v>834100</v>
      </c>
      <c r="D5" s="35" t="e">
        <f>#REF!</f>
        <v>#REF!</v>
      </c>
      <c r="E5" s="35">
        <f>'2013 PROFIT &amp; LOSSES'!V8</f>
        <v>627723.41</v>
      </c>
      <c r="F5" s="35" t="e">
        <f aca="true" t="shared" si="0" ref="F5:F19">E5-D5</f>
        <v>#REF!</v>
      </c>
      <c r="G5" s="42">
        <f aca="true" t="shared" si="1" ref="G5:G18">E5/C5</f>
        <v>0.7525757223354514</v>
      </c>
      <c r="H5" s="12"/>
      <c r="I5" s="32"/>
      <c r="J5" s="32"/>
      <c r="K5" s="12"/>
    </row>
    <row r="6" spans="1:11" ht="15" customHeight="1">
      <c r="A6" s="20" t="s">
        <v>1</v>
      </c>
      <c r="B6" s="34">
        <v>900000</v>
      </c>
      <c r="C6" s="34">
        <v>990000</v>
      </c>
      <c r="D6" s="35" t="e">
        <f>#REF!</f>
        <v>#REF!</v>
      </c>
      <c r="E6" s="35">
        <f>'2013 PROFIT &amp; LOSSES'!V11</f>
        <v>151124.26</v>
      </c>
      <c r="F6" s="35" t="e">
        <f t="shared" si="0"/>
        <v>#REF!</v>
      </c>
      <c r="G6" s="42">
        <f t="shared" si="1"/>
        <v>0.1526507676767677</v>
      </c>
      <c r="H6" s="12"/>
      <c r="I6" s="31"/>
      <c r="J6" s="31"/>
      <c r="K6" s="12"/>
    </row>
    <row r="7" spans="1:11" ht="15" customHeight="1">
      <c r="A7" s="20" t="s">
        <v>2</v>
      </c>
      <c r="B7" s="34">
        <v>150000</v>
      </c>
      <c r="C7" s="34">
        <v>200000</v>
      </c>
      <c r="D7" s="35" t="e">
        <f>#REF!</f>
        <v>#REF!</v>
      </c>
      <c r="E7" s="35">
        <f>'2013 PROFIT &amp; LOSSES'!V14</f>
        <v>85943.22</v>
      </c>
      <c r="F7" s="35" t="e">
        <f>E7-D7</f>
        <v>#REF!</v>
      </c>
      <c r="G7" s="42">
        <f t="shared" si="1"/>
        <v>0.4297161</v>
      </c>
      <c r="H7" s="12"/>
      <c r="I7" s="12"/>
      <c r="J7" s="8"/>
      <c r="K7" s="12"/>
    </row>
    <row r="8" spans="1:11" ht="15" customHeight="1">
      <c r="A8" s="20" t="s">
        <v>3</v>
      </c>
      <c r="B8" s="34">
        <v>1751670</v>
      </c>
      <c r="C8" s="34">
        <f>1165700+234300</f>
        <v>1400000</v>
      </c>
      <c r="D8" s="35" t="e">
        <f>#REF!</f>
        <v>#REF!</v>
      </c>
      <c r="E8" s="35">
        <f>'2013 PROFIT &amp; LOSSES'!V16</f>
        <v>1050090.13</v>
      </c>
      <c r="F8" s="35" t="e">
        <f>E8-D8</f>
        <v>#REF!</v>
      </c>
      <c r="G8" s="42">
        <f t="shared" si="1"/>
        <v>0.7500643785714285</v>
      </c>
      <c r="H8" s="12"/>
      <c r="I8" s="12"/>
      <c r="J8" s="8"/>
      <c r="K8" s="12"/>
    </row>
    <row r="9" spans="1:11" ht="15" customHeight="1">
      <c r="A9" s="20" t="s">
        <v>4</v>
      </c>
      <c r="B9" s="34">
        <v>250000</v>
      </c>
      <c r="C9" s="34">
        <v>250000</v>
      </c>
      <c r="D9" s="35" t="e">
        <f>#REF!</f>
        <v>#REF!</v>
      </c>
      <c r="E9" s="35">
        <f>'2013 PROFIT &amp; LOSSES'!V15</f>
        <v>189812.13</v>
      </c>
      <c r="F9" s="35" t="e">
        <f t="shared" si="0"/>
        <v>#REF!</v>
      </c>
      <c r="G9" s="42">
        <f t="shared" si="1"/>
        <v>0.75924852</v>
      </c>
      <c r="H9" s="12"/>
      <c r="I9" s="12"/>
      <c r="J9" s="8"/>
      <c r="K9" s="12"/>
    </row>
    <row r="10" spans="1:12" ht="15" customHeight="1">
      <c r="A10" s="20" t="s">
        <v>5</v>
      </c>
      <c r="B10" s="34">
        <v>25000</v>
      </c>
      <c r="C10" s="34">
        <v>15000</v>
      </c>
      <c r="D10" s="35" t="e">
        <f>#REF!</f>
        <v>#REF!</v>
      </c>
      <c r="E10" s="35">
        <f>'2013 PROFIT &amp; LOSSES'!V17</f>
        <v>5310</v>
      </c>
      <c r="F10" s="35" t="e">
        <f t="shared" si="0"/>
        <v>#REF!</v>
      </c>
      <c r="G10" s="42">
        <f t="shared" si="1"/>
        <v>0.354</v>
      </c>
      <c r="H10" s="12"/>
      <c r="I10" s="12"/>
      <c r="J10" s="8"/>
      <c r="K10" s="12"/>
      <c r="L10" s="4"/>
    </row>
    <row r="11" spans="1:11" ht="15" customHeight="1">
      <c r="A11" s="20" t="s">
        <v>6</v>
      </c>
      <c r="B11" s="34">
        <v>35000</v>
      </c>
      <c r="C11" s="34">
        <v>40000</v>
      </c>
      <c r="D11" s="35" t="e">
        <f>#REF!</f>
        <v>#REF!</v>
      </c>
      <c r="E11" s="35">
        <f>'2013 PROFIT &amp; LOSSES'!V19</f>
        <v>30939</v>
      </c>
      <c r="F11" s="35" t="e">
        <f t="shared" si="0"/>
        <v>#REF!</v>
      </c>
      <c r="G11" s="42">
        <f t="shared" si="1"/>
        <v>0.773475</v>
      </c>
      <c r="H11" s="12"/>
      <c r="I11" s="12"/>
      <c r="J11" s="8"/>
      <c r="K11" s="12"/>
    </row>
    <row r="12" spans="1:11" ht="15" customHeight="1">
      <c r="A12" s="20" t="s">
        <v>7</v>
      </c>
      <c r="B12" s="34">
        <v>50000</v>
      </c>
      <c r="C12" s="34">
        <v>100000</v>
      </c>
      <c r="D12" s="35" t="e">
        <f>#REF!</f>
        <v>#REF!</v>
      </c>
      <c r="E12" s="35">
        <f>'2013 PROFIT &amp; LOSSES'!V20</f>
        <v>111442.02</v>
      </c>
      <c r="F12" s="35" t="e">
        <f t="shared" si="0"/>
        <v>#REF!</v>
      </c>
      <c r="G12" s="42">
        <f t="shared" si="1"/>
        <v>1.1144202</v>
      </c>
      <c r="H12" s="12"/>
      <c r="I12" s="12"/>
      <c r="J12" s="8"/>
      <c r="K12" s="12"/>
    </row>
    <row r="13" spans="1:12" ht="15" customHeight="1">
      <c r="A13" s="20" t="s">
        <v>8</v>
      </c>
      <c r="B13" s="34">
        <v>850000</v>
      </c>
      <c r="C13" s="34">
        <v>890000</v>
      </c>
      <c r="D13" s="35" t="e">
        <f>#REF!</f>
        <v>#REF!</v>
      </c>
      <c r="E13" s="35">
        <f>'2013 PROFIT &amp; LOSSES'!V12</f>
        <v>747793.6</v>
      </c>
      <c r="F13" s="35" t="e">
        <f t="shared" si="0"/>
        <v>#REF!</v>
      </c>
      <c r="G13" s="42">
        <f t="shared" si="1"/>
        <v>0.8402175280898876</v>
      </c>
      <c r="H13" s="12"/>
      <c r="I13" s="12"/>
      <c r="J13" s="8"/>
      <c r="K13" s="12"/>
      <c r="L13" s="4"/>
    </row>
    <row r="14" spans="1:11" ht="15" customHeight="1">
      <c r="A14" s="20" t="s">
        <v>9</v>
      </c>
      <c r="B14" s="34">
        <v>250000</v>
      </c>
      <c r="C14" s="34">
        <v>400000</v>
      </c>
      <c r="D14" s="35" t="e">
        <f>#REF!</f>
        <v>#REF!</v>
      </c>
      <c r="E14" s="35">
        <f>'2013 PROFIT &amp; LOSSES'!V13</f>
        <v>95762.29</v>
      </c>
      <c r="F14" s="35" t="e">
        <f t="shared" si="0"/>
        <v>#REF!</v>
      </c>
      <c r="G14" s="42">
        <f t="shared" si="1"/>
        <v>0.23940572499999999</v>
      </c>
      <c r="H14" s="12"/>
      <c r="I14" s="12"/>
      <c r="J14" s="8"/>
      <c r="K14" s="12"/>
    </row>
    <row r="15" spans="1:11" ht="15" customHeight="1">
      <c r="A15" s="20" t="s">
        <v>10</v>
      </c>
      <c r="B15" s="34">
        <v>175000</v>
      </c>
      <c r="C15" s="34">
        <v>320000</v>
      </c>
      <c r="D15" s="35" t="e">
        <f>#REF!</f>
        <v>#REF!</v>
      </c>
      <c r="E15" s="35">
        <f>'2013 PROFIT &amp; LOSSES'!V18</f>
        <v>143727.47</v>
      </c>
      <c r="F15" s="35" t="e">
        <f t="shared" si="0"/>
        <v>#REF!</v>
      </c>
      <c r="G15" s="42">
        <f t="shared" si="1"/>
        <v>0.44914834375</v>
      </c>
      <c r="H15" s="12"/>
      <c r="I15" s="12"/>
      <c r="J15" s="8"/>
      <c r="K15" s="12"/>
    </row>
    <row r="16" spans="1:11" ht="12.75">
      <c r="A16" s="20" t="s">
        <v>11</v>
      </c>
      <c r="B16" s="34">
        <v>50000</v>
      </c>
      <c r="C16" s="34">
        <v>150000</v>
      </c>
      <c r="D16" s="35" t="e">
        <f>#REF!</f>
        <v>#REF!</v>
      </c>
      <c r="E16" s="35">
        <f>'2013 PROFIT &amp; LOSSES'!V21</f>
        <v>16966.24</v>
      </c>
      <c r="F16" s="35" t="e">
        <f t="shared" si="0"/>
        <v>#REF!</v>
      </c>
      <c r="G16" s="42">
        <f t="shared" si="1"/>
        <v>0.11310826666666668</v>
      </c>
      <c r="H16" s="12"/>
      <c r="I16" s="12"/>
      <c r="J16" s="8"/>
      <c r="K16" s="12"/>
    </row>
    <row r="17" spans="1:11" ht="15" customHeight="1" hidden="1">
      <c r="A17" s="20" t="s">
        <v>12</v>
      </c>
      <c r="B17" s="34"/>
      <c r="C17" s="34"/>
      <c r="D17" s="35" t="e">
        <f>#REF!</f>
        <v>#REF!</v>
      </c>
      <c r="E17" s="35">
        <v>0</v>
      </c>
      <c r="F17" s="35" t="e">
        <f t="shared" si="0"/>
        <v>#REF!</v>
      </c>
      <c r="G17" s="42" t="e">
        <f t="shared" si="1"/>
        <v>#DIV/0!</v>
      </c>
      <c r="H17" s="12"/>
      <c r="I17" s="12"/>
      <c r="J17" s="8"/>
      <c r="K17" s="12"/>
    </row>
    <row r="18" spans="1:11" ht="12.75" customHeight="1" hidden="1">
      <c r="A18" s="20"/>
      <c r="B18" s="34"/>
      <c r="C18" s="34"/>
      <c r="D18" s="35" t="e">
        <f>#REF!</f>
        <v>#REF!</v>
      </c>
      <c r="E18" s="35">
        <v>0</v>
      </c>
      <c r="F18" s="35" t="e">
        <f t="shared" si="0"/>
        <v>#REF!</v>
      </c>
      <c r="G18" s="42" t="e">
        <f t="shared" si="1"/>
        <v>#DIV/0!</v>
      </c>
      <c r="H18" s="2"/>
      <c r="I18" s="2"/>
      <c r="J18" s="3"/>
      <c r="K18" s="2"/>
    </row>
    <row r="19" spans="1:11" ht="15" customHeight="1">
      <c r="A19" s="26" t="s">
        <v>13</v>
      </c>
      <c r="B19" s="36">
        <v>8531566</v>
      </c>
      <c r="C19" s="36">
        <v>1945323</v>
      </c>
      <c r="D19" s="35">
        <v>0</v>
      </c>
      <c r="E19" s="37">
        <v>0</v>
      </c>
      <c r="F19" s="37">
        <f t="shared" si="0"/>
        <v>0</v>
      </c>
      <c r="G19" s="43"/>
      <c r="H19" s="12"/>
      <c r="I19" s="12"/>
      <c r="J19" s="8"/>
      <c r="K19" s="12"/>
    </row>
    <row r="20" spans="1:11" ht="15" customHeight="1">
      <c r="A20" s="27"/>
      <c r="B20" s="38"/>
      <c r="C20" s="38"/>
      <c r="D20" s="39"/>
      <c r="E20" s="39"/>
      <c r="F20" s="39"/>
      <c r="G20" s="44"/>
      <c r="H20" s="12"/>
      <c r="I20" s="12"/>
      <c r="J20" s="8"/>
      <c r="K20" s="12"/>
    </row>
    <row r="21" spans="1:14" s="10" customFormat="1" ht="18" customHeight="1">
      <c r="A21" s="18" t="s">
        <v>27</v>
      </c>
      <c r="B21" s="40">
        <f>SUM(B4:B19)</f>
        <v>58013403</v>
      </c>
      <c r="C21" s="40">
        <f>SUM(C4:C19)</f>
        <v>52841725</v>
      </c>
      <c r="D21" s="41" t="e">
        <f>D19+D16+D15+D14+D13+D12+D11+D10+D9+D8+D7+D6+D5+D4</f>
        <v>#REF!</v>
      </c>
      <c r="E21" s="41">
        <f>SUM(E4:E19)</f>
        <v>22385048.24</v>
      </c>
      <c r="F21" s="41" t="e">
        <f>SUM(F4:F19)</f>
        <v>#REF!</v>
      </c>
      <c r="G21" s="45">
        <f>E21/C21</f>
        <v>0.42362447932954495</v>
      </c>
      <c r="H21" s="12"/>
      <c r="I21" s="12">
        <f>E21-20900004.28</f>
        <v>1485043.9599999972</v>
      </c>
      <c r="J21" s="8"/>
      <c r="K21" s="12"/>
      <c r="L21" s="8"/>
      <c r="N21" s="17"/>
    </row>
    <row r="22" spans="1:11" ht="12" customHeight="1">
      <c r="A22" s="1"/>
      <c r="B22" s="4"/>
      <c r="C22" s="4"/>
      <c r="D22" s="4"/>
      <c r="E22" s="4"/>
      <c r="F22" s="13"/>
      <c r="G22" s="13"/>
      <c r="H22" s="2"/>
      <c r="I22" s="2"/>
      <c r="J22" s="3"/>
      <c r="K22" s="2"/>
    </row>
    <row r="23" spans="1:10" ht="12" customHeight="1">
      <c r="A23" s="22"/>
      <c r="B23" s="23"/>
      <c r="C23" s="22"/>
      <c r="D23" s="92"/>
      <c r="E23" s="23"/>
      <c r="F23" s="24"/>
      <c r="G23" s="25"/>
      <c r="H23" s="14"/>
      <c r="I23" s="14"/>
      <c r="J23" s="14"/>
    </row>
    <row r="24" spans="1:9" ht="15" customHeight="1">
      <c r="A24" s="106" t="s">
        <v>14</v>
      </c>
      <c r="B24" s="106" t="s">
        <v>34</v>
      </c>
      <c r="C24" s="106" t="s">
        <v>88</v>
      </c>
      <c r="D24" s="19">
        <v>41061</v>
      </c>
      <c r="E24" s="19">
        <v>41426</v>
      </c>
      <c r="F24" s="109" t="s">
        <v>28</v>
      </c>
      <c r="G24" s="111" t="s">
        <v>29</v>
      </c>
      <c r="H24" s="6"/>
      <c r="I24" s="6"/>
    </row>
    <row r="25" spans="1:9" ht="15" customHeight="1">
      <c r="A25" s="107"/>
      <c r="B25" s="108"/>
      <c r="C25" s="108"/>
      <c r="D25" s="113" t="s">
        <v>26</v>
      </c>
      <c r="E25" s="110" t="s">
        <v>26</v>
      </c>
      <c r="F25" s="110"/>
      <c r="G25" s="112"/>
      <c r="H25" s="90"/>
      <c r="I25" s="11"/>
    </row>
    <row r="26" spans="1:10" ht="15" customHeight="1">
      <c r="A26" s="107"/>
      <c r="B26" s="108"/>
      <c r="C26" s="108"/>
      <c r="D26" s="109"/>
      <c r="E26" s="110"/>
      <c r="F26" s="110"/>
      <c r="G26" s="112"/>
      <c r="H26" s="11"/>
      <c r="I26" s="11"/>
      <c r="J26" s="15"/>
    </row>
    <row r="27" spans="1:10" ht="15" customHeight="1">
      <c r="A27" s="20" t="s">
        <v>15</v>
      </c>
      <c r="B27" s="34">
        <v>2100290</v>
      </c>
      <c r="C27" s="34">
        <v>1884258</v>
      </c>
      <c r="D27" s="35" t="e">
        <f>#REF!</f>
        <v>#REF!</v>
      </c>
      <c r="E27" s="35">
        <f>'2013 PROFIT &amp; LOSSES'!V28</f>
        <v>784593.5</v>
      </c>
      <c r="F27" s="35" t="e">
        <f aca="true" t="shared" si="2" ref="F27:F40">E27-D27</f>
        <v>#REF!</v>
      </c>
      <c r="G27" s="21">
        <f>E27/C27</f>
        <v>0.416393880243576</v>
      </c>
      <c r="H27" s="8"/>
      <c r="I27" s="12"/>
      <c r="J27" s="15"/>
    </row>
    <row r="28" spans="1:10" ht="15" customHeight="1">
      <c r="A28" s="20" t="s">
        <v>16</v>
      </c>
      <c r="B28" s="34">
        <v>1787221</v>
      </c>
      <c r="C28" s="34">
        <v>2054581</v>
      </c>
      <c r="D28" s="35" t="e">
        <f>#REF!</f>
        <v>#REF!</v>
      </c>
      <c r="E28" s="35">
        <f>'2013 PROFIT &amp; LOSSES'!V32</f>
        <v>713543.01</v>
      </c>
      <c r="F28" s="35" t="e">
        <f>E28-D28</f>
        <v>#REF!</v>
      </c>
      <c r="G28" s="21">
        <f aca="true" t="shared" si="3" ref="G28:G38">E28/C28</f>
        <v>0.34729368664462484</v>
      </c>
      <c r="H28" s="8"/>
      <c r="I28" s="9"/>
      <c r="J28" s="15"/>
    </row>
    <row r="29" spans="1:10" ht="15" customHeight="1">
      <c r="A29" s="20" t="s">
        <v>87</v>
      </c>
      <c r="B29" s="34">
        <v>696162</v>
      </c>
      <c r="C29" s="34">
        <v>585246</v>
      </c>
      <c r="D29" s="35" t="e">
        <f>#REF!</f>
        <v>#REF!</v>
      </c>
      <c r="E29" s="35">
        <f>'2013 PROFIT &amp; LOSSES'!V36</f>
        <v>191831.26</v>
      </c>
      <c r="F29" s="35" t="e">
        <f t="shared" si="2"/>
        <v>#REF!</v>
      </c>
      <c r="G29" s="21">
        <f t="shared" si="3"/>
        <v>0.3277788485525745</v>
      </c>
      <c r="H29" s="8"/>
      <c r="I29" s="9"/>
      <c r="J29" s="15"/>
    </row>
    <row r="30" spans="1:10" ht="15" customHeight="1">
      <c r="A30" s="20" t="s">
        <v>17</v>
      </c>
      <c r="B30" s="34">
        <v>7986645</v>
      </c>
      <c r="C30" s="34">
        <v>7653505</v>
      </c>
      <c r="D30" s="35" t="e">
        <f>#REF!</f>
        <v>#REF!</v>
      </c>
      <c r="E30" s="35">
        <f>'2013 PROFIT &amp; LOSSES'!V40</f>
        <v>2794242.02</v>
      </c>
      <c r="F30" s="35" t="e">
        <f t="shared" si="2"/>
        <v>#REF!</v>
      </c>
      <c r="G30" s="21">
        <f t="shared" si="3"/>
        <v>0.36509312008027694</v>
      </c>
      <c r="H30" s="8"/>
      <c r="I30" s="9"/>
      <c r="J30" s="15"/>
    </row>
    <row r="31" spans="1:10" ht="15" customHeight="1">
      <c r="A31" s="20" t="s">
        <v>18</v>
      </c>
      <c r="B31" s="34">
        <v>20027575</v>
      </c>
      <c r="C31" s="34">
        <v>0</v>
      </c>
      <c r="D31" s="35" t="e">
        <f>#REF!</f>
        <v>#REF!</v>
      </c>
      <c r="E31" s="35">
        <v>0</v>
      </c>
      <c r="F31" s="35" t="e">
        <f>E31-D31</f>
        <v>#REF!</v>
      </c>
      <c r="G31" s="21">
        <v>0</v>
      </c>
      <c r="H31" s="8"/>
      <c r="I31" s="9"/>
      <c r="J31" s="15"/>
    </row>
    <row r="32" spans="1:10" ht="15" customHeight="1">
      <c r="A32" s="20" t="s">
        <v>93</v>
      </c>
      <c r="B32" s="34">
        <v>0</v>
      </c>
      <c r="C32" s="34">
        <v>10504913</v>
      </c>
      <c r="D32" s="35">
        <v>0</v>
      </c>
      <c r="E32" s="35">
        <f>'2013 PROFIT &amp; LOSSES'!V48</f>
        <v>3309506.66</v>
      </c>
      <c r="F32" s="35">
        <f>E32-D32</f>
        <v>3309506.66</v>
      </c>
      <c r="G32" s="21">
        <f>E32/C32</f>
        <v>0.31504370002873894</v>
      </c>
      <c r="H32" s="8"/>
      <c r="I32" s="9"/>
      <c r="J32" s="15"/>
    </row>
    <row r="33" spans="1:10" ht="15" customHeight="1">
      <c r="A33" s="20" t="s">
        <v>94</v>
      </c>
      <c r="B33" s="34">
        <v>0</v>
      </c>
      <c r="C33" s="34">
        <f>8611145+592000</f>
        <v>9203145</v>
      </c>
      <c r="D33" s="35">
        <v>0</v>
      </c>
      <c r="E33" s="35">
        <f>'2013 PROFIT &amp; LOSSES'!V52+'2013 PROFIT &amp; LOSSES'!V56</f>
        <v>2835357.7300000004</v>
      </c>
      <c r="F33" s="35">
        <f>E33-D33</f>
        <v>2835357.7300000004</v>
      </c>
      <c r="G33" s="21">
        <f>E33/C33</f>
        <v>0.30808573916851256</v>
      </c>
      <c r="H33" s="8"/>
      <c r="I33" s="9"/>
      <c r="J33" s="15"/>
    </row>
    <row r="34" spans="1:10" ht="15" customHeight="1">
      <c r="A34" s="20" t="s">
        <v>19</v>
      </c>
      <c r="B34" s="34">
        <v>200000</v>
      </c>
      <c r="C34" s="34">
        <v>250000</v>
      </c>
      <c r="D34" s="35" t="e">
        <f>#REF!</f>
        <v>#REF!</v>
      </c>
      <c r="E34" s="35">
        <f>'2013 PROFIT &amp; LOSSES'!V60</f>
        <v>24406.15</v>
      </c>
      <c r="F34" s="35" t="e">
        <f t="shared" si="2"/>
        <v>#REF!</v>
      </c>
      <c r="G34" s="21">
        <f t="shared" si="3"/>
        <v>0.0976246</v>
      </c>
      <c r="H34" s="8"/>
      <c r="I34" s="9"/>
      <c r="J34" s="15"/>
    </row>
    <row r="35" spans="1:10" ht="15" customHeight="1">
      <c r="A35" s="91" t="s">
        <v>35</v>
      </c>
      <c r="B35" s="34">
        <v>2707564</v>
      </c>
      <c r="C35" s="34">
        <v>3046935</v>
      </c>
      <c r="D35" s="35" t="e">
        <f>#REF!</f>
        <v>#REF!</v>
      </c>
      <c r="E35" s="35">
        <f>'2013 PROFIT &amp; LOSSES'!V44</f>
        <v>710771.63</v>
      </c>
      <c r="F35" s="35" t="e">
        <f t="shared" si="2"/>
        <v>#REF!</v>
      </c>
      <c r="G35" s="21">
        <f t="shared" si="3"/>
        <v>0.23327430023942092</v>
      </c>
      <c r="H35" s="8"/>
      <c r="I35" s="9"/>
      <c r="J35" s="15"/>
    </row>
    <row r="36" spans="1:10" ht="15" customHeight="1">
      <c r="A36" s="20" t="s">
        <v>20</v>
      </c>
      <c r="B36" s="34">
        <v>9633492</v>
      </c>
      <c r="C36" s="34">
        <v>9514640</v>
      </c>
      <c r="D36" s="35" t="e">
        <f>#REF!</f>
        <v>#REF!</v>
      </c>
      <c r="E36" s="35">
        <f>'2013 PROFIT &amp; LOSSES'!V62</f>
        <v>3218746.13</v>
      </c>
      <c r="F36" s="35" t="e">
        <f t="shared" si="2"/>
        <v>#REF!</v>
      </c>
      <c r="G36" s="21">
        <f t="shared" si="3"/>
        <v>0.33829405316438665</v>
      </c>
      <c r="H36" s="8"/>
      <c r="I36" s="9"/>
      <c r="J36" s="15"/>
    </row>
    <row r="37" spans="1:10" ht="15" customHeight="1">
      <c r="A37" s="20" t="s">
        <v>21</v>
      </c>
      <c r="B37" s="34">
        <v>1429731</v>
      </c>
      <c r="C37" s="34">
        <v>1365971</v>
      </c>
      <c r="D37" s="35" t="e">
        <f>#REF!</f>
        <v>#REF!</v>
      </c>
      <c r="E37" s="35">
        <f>'2013 PROFIT &amp; LOSSES'!V66</f>
        <v>498647.8</v>
      </c>
      <c r="F37" s="35" t="e">
        <f t="shared" si="2"/>
        <v>#REF!</v>
      </c>
      <c r="G37" s="21">
        <f t="shared" si="3"/>
        <v>0.36505006328831285</v>
      </c>
      <c r="H37" s="8"/>
      <c r="I37" s="9"/>
      <c r="J37" s="15"/>
    </row>
    <row r="38" spans="1:10" ht="15" customHeight="1">
      <c r="A38" s="20" t="s">
        <v>22</v>
      </c>
      <c r="B38" s="34">
        <v>1735303</v>
      </c>
      <c r="C38" s="34">
        <v>1813531</v>
      </c>
      <c r="D38" s="35" t="e">
        <f>#REF!</f>
        <v>#REF!</v>
      </c>
      <c r="E38" s="35">
        <f>'2013 PROFIT &amp; LOSSES'!V70</f>
        <v>707967.3</v>
      </c>
      <c r="F38" s="35" t="e">
        <f t="shared" si="2"/>
        <v>#REF!</v>
      </c>
      <c r="G38" s="21">
        <f t="shared" si="3"/>
        <v>0.39038058902770345</v>
      </c>
      <c r="H38" s="8"/>
      <c r="I38" s="9"/>
      <c r="J38" s="16"/>
    </row>
    <row r="39" spans="1:10" ht="15" customHeight="1">
      <c r="A39" s="20" t="s">
        <v>23</v>
      </c>
      <c r="B39" s="34">
        <v>2709420</v>
      </c>
      <c r="C39" s="34">
        <v>3415000</v>
      </c>
      <c r="D39" s="35" t="e">
        <f>#REF!</f>
        <v>#REF!</v>
      </c>
      <c r="E39" s="35">
        <f>'2013 PROFIT &amp; LOSSES'!V74</f>
        <v>730708.63</v>
      </c>
      <c r="F39" s="35" t="e">
        <f>E39-D39</f>
        <v>#REF!</v>
      </c>
      <c r="G39" s="21">
        <f>E39/C39</f>
        <v>0.21397031625183016</v>
      </c>
      <c r="H39" s="8"/>
      <c r="I39" s="9"/>
      <c r="J39" s="16"/>
    </row>
    <row r="40" spans="1:9" ht="15" customHeight="1">
      <c r="A40" s="26" t="s">
        <v>24</v>
      </c>
      <c r="B40" s="36">
        <v>7000000</v>
      </c>
      <c r="C40" s="36">
        <v>1550000</v>
      </c>
      <c r="D40" s="37">
        <v>0</v>
      </c>
      <c r="E40" s="35">
        <v>0</v>
      </c>
      <c r="F40" s="35">
        <f t="shared" si="2"/>
        <v>0</v>
      </c>
      <c r="G40" s="28"/>
      <c r="H40" s="3"/>
      <c r="I40" s="7"/>
    </row>
    <row r="41" spans="1:9" ht="15" customHeight="1">
      <c r="A41" s="27"/>
      <c r="B41" s="38"/>
      <c r="C41" s="38"/>
      <c r="D41" s="39"/>
      <c r="E41" s="39"/>
      <c r="F41" s="39"/>
      <c r="G41" s="30"/>
      <c r="H41" s="3"/>
      <c r="I41" s="7"/>
    </row>
    <row r="42" spans="1:10" s="10" customFormat="1" ht="18" customHeight="1">
      <c r="A42" s="18" t="s">
        <v>27</v>
      </c>
      <c r="B42" s="40">
        <f>SUM(B27:B40)</f>
        <v>58013403</v>
      </c>
      <c r="C42" s="40">
        <f>SUM(C27:C40)</f>
        <v>52841725</v>
      </c>
      <c r="D42" s="41" t="e">
        <f>SUM(D27:D40)</f>
        <v>#REF!</v>
      </c>
      <c r="E42" s="41">
        <f>SUM(E27:E40)</f>
        <v>16520321.820000002</v>
      </c>
      <c r="F42" s="41" t="e">
        <f>SUM(F27:F40)</f>
        <v>#REF!</v>
      </c>
      <c r="G42" s="29">
        <f>E42/C42</f>
        <v>0.31263782209986524</v>
      </c>
      <c r="J42" s="16"/>
    </row>
    <row r="43" spans="2:6" ht="12.75">
      <c r="B43" s="46"/>
      <c r="C43" s="46"/>
      <c r="D43" s="46"/>
      <c r="E43" s="46"/>
      <c r="F43" s="46"/>
    </row>
    <row r="44" spans="2:6" ht="12.75">
      <c r="B44" s="46"/>
      <c r="C44" s="46"/>
      <c r="D44" s="46"/>
      <c r="E44" s="46"/>
      <c r="F44" s="46"/>
    </row>
    <row r="45" spans="2:6" ht="12.75">
      <c r="B45" s="46"/>
      <c r="C45" s="46"/>
      <c r="D45" s="46"/>
      <c r="E45" s="46"/>
      <c r="F45" s="46"/>
    </row>
    <row r="46" spans="2:6" ht="12.75">
      <c r="B46" s="46"/>
      <c r="C46" s="46"/>
      <c r="D46" s="46"/>
      <c r="E46" s="46"/>
      <c r="F46" s="46"/>
    </row>
    <row r="47" spans="2:6" ht="12.75">
      <c r="B47" s="46"/>
      <c r="C47" s="46"/>
      <c r="D47" s="46"/>
      <c r="E47" s="46"/>
      <c r="F47" s="46"/>
    </row>
    <row r="48" spans="2:6" ht="12.75">
      <c r="B48" s="46"/>
      <c r="C48" s="46"/>
      <c r="D48" s="46"/>
      <c r="E48" s="46"/>
      <c r="F48" s="46"/>
    </row>
    <row r="49" spans="2:8" ht="12.75">
      <c r="B49" s="46"/>
      <c r="C49" s="46"/>
      <c r="D49" s="46"/>
      <c r="E49" s="46"/>
      <c r="F49" s="46"/>
      <c r="H49" s="33"/>
    </row>
    <row r="50" spans="2:8" ht="12.75">
      <c r="B50" s="46"/>
      <c r="C50" s="46"/>
      <c r="D50" s="46"/>
      <c r="E50" s="46"/>
      <c r="F50" s="46"/>
      <c r="H50" s="33"/>
    </row>
    <row r="51" spans="2:8" ht="12.75">
      <c r="B51" s="46"/>
      <c r="C51" s="46"/>
      <c r="D51" s="46"/>
      <c r="E51" s="46"/>
      <c r="F51" s="46"/>
      <c r="H51" s="33"/>
    </row>
  </sheetData>
  <sheetProtection/>
  <mergeCells count="14">
    <mergeCell ref="A1:A3"/>
    <mergeCell ref="B1:B3"/>
    <mergeCell ref="C1:C3"/>
    <mergeCell ref="F1:F3"/>
    <mergeCell ref="G1:G3"/>
    <mergeCell ref="D2:D3"/>
    <mergeCell ref="E2:E3"/>
    <mergeCell ref="A24:A26"/>
    <mergeCell ref="B24:B26"/>
    <mergeCell ref="C24:C26"/>
    <mergeCell ref="F24:F26"/>
    <mergeCell ref="G24:G26"/>
    <mergeCell ref="D25:D26"/>
    <mergeCell ref="E25:E26"/>
  </mergeCells>
  <printOptions horizontalCentered="1" verticalCentered="1"/>
  <pageMargins left="0.5" right="0.5" top="1" bottom="0.5" header="0.25" footer="0.3"/>
  <pageSetup fitToHeight="1" fitToWidth="1" horizontalDpi="300" verticalDpi="300" orientation="landscape" scale="88" r:id="rId1"/>
  <headerFooter>
    <oddHeader>&amp;C&amp;"-,Bold"&amp;12Forest Preserve District of Cook County
Corporate Fund Analysis of Revenue and Expense
As of June 30,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Cook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Lopatniuk (Forest Preserve District)</dc:creator>
  <cp:keywords/>
  <dc:description/>
  <cp:lastModifiedBy>Paula Matela (Secretary to the Board)</cp:lastModifiedBy>
  <cp:lastPrinted>2014-02-28T00:31:51Z</cp:lastPrinted>
  <dcterms:created xsi:type="dcterms:W3CDTF">2011-10-24T20:29:54Z</dcterms:created>
  <dcterms:modified xsi:type="dcterms:W3CDTF">2014-03-05T21:15:57Z</dcterms:modified>
  <cp:category/>
  <cp:version/>
  <cp:contentType/>
  <cp:contentStatus/>
</cp:coreProperties>
</file>